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llettk\Downloads\"/>
    </mc:Choice>
  </mc:AlternateContent>
  <xr:revisionPtr revIDLastSave="0" documentId="13_ncr:40009_{4ADAF6D0-5EA8-4C60-8D4E-B6AB2433A04D}" xr6:coauthVersionLast="47" xr6:coauthVersionMax="47" xr10:uidLastSave="{00000000-0000-0000-0000-000000000000}"/>
  <bookViews>
    <workbookView xWindow="-110" yWindow="-110" windowWidth="19420" windowHeight="10420" firstSheet="10" activeTab="16"/>
  </bookViews>
  <sheets>
    <sheet name="Score 3M" sheetId="2" r:id="rId1"/>
    <sheet name="Score 4M" sheetId="3" r:id="rId2"/>
    <sheet name="Score 5M" sheetId="4" r:id="rId3"/>
    <sheet name="Score 6M" sheetId="5" r:id="rId4"/>
    <sheet name="Score 7M" sheetId="6" r:id="rId5"/>
    <sheet name="Score 8M" sheetId="7" r:id="rId6"/>
    <sheet name="Score 9M" sheetId="8" r:id="rId7"/>
    <sheet name="Score 10M" sheetId="9" r:id="rId8"/>
    <sheet name="Score 11M" sheetId="10" r:id="rId9"/>
    <sheet name="Score 12&amp;13M" sheetId="11" r:id="rId10"/>
    <sheet name="Score TeachersM" sheetId="12" r:id="rId11"/>
    <sheet name="Score 3F" sheetId="13" r:id="rId12"/>
    <sheet name="Score 4F" sheetId="14" r:id="rId13"/>
    <sheet name="Score 5F" sheetId="15" r:id="rId14"/>
    <sheet name="Score 6F" sheetId="17" r:id="rId15"/>
    <sheet name="Score 7F" sheetId="16" r:id="rId16"/>
    <sheet name="Score 8F" sheetId="18" r:id="rId17"/>
    <sheet name="Score 9F" sheetId="19" r:id="rId18"/>
    <sheet name="Score 10F" sheetId="21" r:id="rId19"/>
    <sheet name="Score 11F" sheetId="20" r:id="rId20"/>
    <sheet name="Score 12&amp;13F" sheetId="22" r:id="rId21"/>
    <sheet name="Score TeachersF" sheetId="23" r:id="rId22"/>
    <sheet name="Scoring tables" sheetId="24" r:id="rId23"/>
    <sheet name="sheet names" sheetId="25" r:id="rId2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3" l="1"/>
  <c r="J9" i="23"/>
  <c r="J10" i="23"/>
  <c r="J11" i="23"/>
  <c r="J12" i="23"/>
  <c r="J13" i="23"/>
  <c r="J14" i="23"/>
  <c r="J4" i="22"/>
  <c r="J5" i="22"/>
  <c r="J6" i="22"/>
  <c r="J7" i="22"/>
  <c r="J8" i="22"/>
  <c r="J9" i="22"/>
  <c r="J10" i="22"/>
  <c r="J11" i="22"/>
  <c r="J12" i="22"/>
  <c r="J13" i="22"/>
  <c r="J14" i="22"/>
  <c r="K14" i="22" s="1"/>
  <c r="J15" i="22"/>
  <c r="J16" i="22"/>
  <c r="J17" i="22"/>
  <c r="J18" i="22"/>
  <c r="J19" i="22"/>
  <c r="J20" i="22"/>
  <c r="J21" i="22"/>
  <c r="J22" i="22"/>
  <c r="J23" i="22"/>
  <c r="J24" i="22"/>
  <c r="J25" i="22"/>
  <c r="J26" i="22"/>
  <c r="K26" i="22" s="1"/>
  <c r="J27" i="22"/>
  <c r="J28" i="22"/>
  <c r="J29" i="22"/>
  <c r="J30" i="22"/>
  <c r="J31" i="22"/>
  <c r="J32" i="22"/>
  <c r="J33" i="22"/>
  <c r="J34" i="22"/>
  <c r="J35" i="22"/>
  <c r="J36" i="22"/>
  <c r="J37" i="22"/>
  <c r="J38" i="22"/>
  <c r="K38" i="22" s="1"/>
  <c r="J39" i="22"/>
  <c r="J40" i="22"/>
  <c r="J41" i="22"/>
  <c r="J42" i="22"/>
  <c r="J43" i="22"/>
  <c r="J44" i="22"/>
  <c r="J45" i="22"/>
  <c r="J46" i="22"/>
  <c r="J47" i="22"/>
  <c r="J48" i="22"/>
  <c r="J49" i="22"/>
  <c r="J50" i="22"/>
  <c r="K50" i="22" s="1"/>
  <c r="J51" i="22"/>
  <c r="J52" i="22"/>
  <c r="J53" i="22"/>
  <c r="J54" i="22"/>
  <c r="J55" i="22"/>
  <c r="J56" i="22"/>
  <c r="J57" i="22"/>
  <c r="J58" i="22"/>
  <c r="J59" i="22"/>
  <c r="J60" i="22"/>
  <c r="J61" i="22"/>
  <c r="J62" i="22"/>
  <c r="K62" i="22" s="1"/>
  <c r="J63" i="22"/>
  <c r="J64" i="22"/>
  <c r="J65" i="22"/>
  <c r="J66" i="22"/>
  <c r="J67" i="22"/>
  <c r="J68" i="22"/>
  <c r="J69" i="22"/>
  <c r="J70" i="22"/>
  <c r="J71" i="22"/>
  <c r="J72" i="22"/>
  <c r="J73" i="22"/>
  <c r="J74" i="22"/>
  <c r="K74" i="22" s="1"/>
  <c r="J75" i="22"/>
  <c r="J76" i="22"/>
  <c r="J77" i="22"/>
  <c r="J78" i="22"/>
  <c r="J79" i="22"/>
  <c r="J80" i="22"/>
  <c r="J81" i="22"/>
  <c r="J82" i="22"/>
  <c r="J83" i="22"/>
  <c r="J84" i="22"/>
  <c r="J85" i="22"/>
  <c r="J86" i="22"/>
  <c r="K86" i="22" s="1"/>
  <c r="J87" i="22"/>
  <c r="J88" i="22"/>
  <c r="J89" i="22"/>
  <c r="J90" i="22"/>
  <c r="J91" i="22"/>
  <c r="J92" i="22"/>
  <c r="J93" i="22"/>
  <c r="J94" i="22"/>
  <c r="J6" i="21"/>
  <c r="J7" i="21"/>
  <c r="J8" i="21"/>
  <c r="J9" i="21"/>
  <c r="J10" i="21"/>
  <c r="J11" i="21"/>
  <c r="J12" i="21"/>
  <c r="J13" i="21"/>
  <c r="J14" i="21"/>
  <c r="K14" i="21" s="1"/>
  <c r="J15" i="21"/>
  <c r="J16" i="21"/>
  <c r="J17" i="21"/>
  <c r="J18" i="21"/>
  <c r="J19" i="21"/>
  <c r="J20" i="21"/>
  <c r="J21" i="21"/>
  <c r="J22" i="21"/>
  <c r="J23" i="21"/>
  <c r="J24" i="21"/>
  <c r="J25" i="21"/>
  <c r="J26" i="21"/>
  <c r="K26" i="21" s="1"/>
  <c r="J27" i="21"/>
  <c r="J28" i="21"/>
  <c r="J29" i="21"/>
  <c r="J30" i="21"/>
  <c r="J3" i="20"/>
  <c r="J4" i="20"/>
  <c r="J5" i="20"/>
  <c r="J6" i="20"/>
  <c r="J7" i="20"/>
  <c r="J8" i="20"/>
  <c r="J9" i="20"/>
  <c r="J10" i="20"/>
  <c r="J11" i="20"/>
  <c r="J12" i="20"/>
  <c r="J13" i="20"/>
  <c r="J14" i="20"/>
  <c r="K14" i="20" s="1"/>
  <c r="J15" i="20"/>
  <c r="J16" i="20"/>
  <c r="J17" i="20"/>
  <c r="J18" i="20"/>
  <c r="J19" i="20"/>
  <c r="J20" i="20"/>
  <c r="J21" i="20"/>
  <c r="J22" i="20"/>
  <c r="J23" i="20"/>
  <c r="J15" i="19"/>
  <c r="J16" i="19"/>
  <c r="J17" i="19"/>
  <c r="J18" i="19"/>
  <c r="J19" i="19"/>
  <c r="J20" i="19"/>
  <c r="J21" i="19"/>
  <c r="J22" i="19"/>
  <c r="J23" i="19"/>
  <c r="J14" i="18"/>
  <c r="J15" i="18"/>
  <c r="J16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17" i="16"/>
  <c r="J18" i="16"/>
  <c r="J19" i="16"/>
  <c r="J20" i="16"/>
  <c r="J21" i="16"/>
  <c r="J22" i="16"/>
  <c r="J23" i="16"/>
  <c r="J24" i="16"/>
  <c r="J25" i="16"/>
  <c r="J26" i="16"/>
  <c r="K26" i="16" s="1"/>
  <c r="J27" i="16"/>
  <c r="J28" i="16"/>
  <c r="J29" i="16"/>
  <c r="J30" i="16"/>
  <c r="J31" i="16"/>
  <c r="J32" i="16"/>
  <c r="J33" i="16"/>
  <c r="J34" i="16"/>
  <c r="J35" i="16"/>
  <c r="J36" i="16"/>
  <c r="J37" i="16"/>
  <c r="J38" i="16"/>
  <c r="K38" i="16" s="1"/>
  <c r="J39" i="16"/>
  <c r="J40" i="16"/>
  <c r="J41" i="16"/>
  <c r="J42" i="16"/>
  <c r="J43" i="16"/>
  <c r="J44" i="16"/>
  <c r="J45" i="16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15" i="15"/>
  <c r="J16" i="15"/>
  <c r="J17" i="15"/>
  <c r="J18" i="15"/>
  <c r="J19" i="15"/>
  <c r="J20" i="15"/>
  <c r="J21" i="15"/>
  <c r="J22" i="15"/>
  <c r="K22" i="15" s="1"/>
  <c r="J23" i="15"/>
  <c r="J24" i="15"/>
  <c r="K24" i="15" s="1"/>
  <c r="J25" i="15"/>
  <c r="J26" i="15"/>
  <c r="J27" i="15"/>
  <c r="J28" i="15"/>
  <c r="J29" i="15"/>
  <c r="J30" i="15"/>
  <c r="J6" i="14"/>
  <c r="J7" i="14"/>
  <c r="J8" i="14"/>
  <c r="J9" i="14"/>
  <c r="J10" i="14"/>
  <c r="J11" i="14"/>
  <c r="J12" i="14"/>
  <c r="J13" i="14"/>
  <c r="J14" i="14"/>
  <c r="J15" i="14"/>
  <c r="J16" i="14"/>
  <c r="J17" i="14"/>
  <c r="K17" i="14" s="1"/>
  <c r="J18" i="14"/>
  <c r="J19" i="14"/>
  <c r="J20" i="14"/>
  <c r="J21" i="14"/>
  <c r="J22" i="14"/>
  <c r="J23" i="14"/>
  <c r="J24" i="14"/>
  <c r="J25" i="14"/>
  <c r="J26" i="14"/>
  <c r="J27" i="14"/>
  <c r="J28" i="14"/>
  <c r="J7" i="13"/>
  <c r="J8" i="13"/>
  <c r="J9" i="13"/>
  <c r="J10" i="13"/>
  <c r="J11" i="13"/>
  <c r="J12" i="13"/>
  <c r="J13" i="13"/>
  <c r="K13" i="13" s="1"/>
  <c r="J14" i="13"/>
  <c r="K14" i="13" s="1"/>
  <c r="J15" i="13"/>
  <c r="J16" i="13"/>
  <c r="J17" i="13"/>
  <c r="J18" i="13"/>
  <c r="J19" i="13"/>
  <c r="J20" i="13"/>
  <c r="J21" i="13"/>
  <c r="J22" i="13"/>
  <c r="J23" i="13"/>
  <c r="J24" i="13"/>
  <c r="J25" i="13"/>
  <c r="K25" i="13" s="1"/>
  <c r="J26" i="13"/>
  <c r="K26" i="13" s="1"/>
  <c r="J27" i="13"/>
  <c r="J7" i="12"/>
  <c r="J8" i="12"/>
  <c r="J9" i="12"/>
  <c r="J10" i="12"/>
  <c r="J11" i="12"/>
  <c r="J12" i="12"/>
  <c r="J13" i="12"/>
  <c r="J14" i="12"/>
  <c r="J15" i="12"/>
  <c r="J16" i="12"/>
  <c r="J17" i="12"/>
  <c r="J18" i="12"/>
  <c r="K18" i="12" s="1"/>
  <c r="J19" i="12"/>
  <c r="J20" i="12"/>
  <c r="J21" i="12"/>
  <c r="J22" i="12"/>
  <c r="J23" i="12"/>
  <c r="J24" i="12"/>
  <c r="J25" i="12"/>
  <c r="J26" i="12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4" i="10"/>
  <c r="J5" i="10"/>
  <c r="J6" i="10"/>
  <c r="J7" i="10"/>
  <c r="J8" i="10"/>
  <c r="J9" i="10"/>
  <c r="J10" i="10"/>
  <c r="J11" i="10"/>
  <c r="J12" i="10"/>
  <c r="K12" i="10" s="1"/>
  <c r="J13" i="10"/>
  <c r="J14" i="10"/>
  <c r="K14" i="10" s="1"/>
  <c r="J15" i="10"/>
  <c r="J16" i="10"/>
  <c r="J17" i="10"/>
  <c r="J18" i="10"/>
  <c r="J19" i="10"/>
  <c r="J20" i="10"/>
  <c r="J21" i="10"/>
  <c r="J22" i="10"/>
  <c r="J23" i="10"/>
  <c r="J24" i="10"/>
  <c r="K24" i="10" s="1"/>
  <c r="J25" i="10"/>
  <c r="J26" i="10"/>
  <c r="K26" i="10" s="1"/>
  <c r="J27" i="10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5" i="8"/>
  <c r="J6" i="8"/>
  <c r="J7" i="8"/>
  <c r="J8" i="8"/>
  <c r="J9" i="8"/>
  <c r="J10" i="8"/>
  <c r="J11" i="8"/>
  <c r="J12" i="8"/>
  <c r="J13" i="8"/>
  <c r="J14" i="8"/>
  <c r="K14" i="8" s="1"/>
  <c r="J15" i="8"/>
  <c r="J16" i="8"/>
  <c r="J17" i="8"/>
  <c r="J18" i="8"/>
  <c r="J19" i="8"/>
  <c r="J20" i="8"/>
  <c r="J21" i="8"/>
  <c r="J15" i="7"/>
  <c r="J16" i="7"/>
  <c r="J17" i="7"/>
  <c r="J18" i="7"/>
  <c r="J19" i="7"/>
  <c r="J20" i="7"/>
  <c r="J21" i="7"/>
  <c r="J14" i="6"/>
  <c r="J15" i="6"/>
  <c r="J16" i="6"/>
  <c r="J17" i="6"/>
  <c r="J18" i="6"/>
  <c r="J19" i="6"/>
  <c r="J20" i="6"/>
  <c r="J21" i="6"/>
  <c r="J22" i="6"/>
  <c r="J23" i="6"/>
  <c r="J18" i="5"/>
  <c r="J19" i="5"/>
  <c r="J20" i="5"/>
  <c r="J21" i="5"/>
  <c r="J8" i="4"/>
  <c r="J9" i="4"/>
  <c r="J10" i="4"/>
  <c r="J11" i="4"/>
  <c r="J12" i="4"/>
  <c r="J13" i="4"/>
  <c r="J14" i="4"/>
  <c r="K14" i="4" s="1"/>
  <c r="J15" i="4"/>
  <c r="J16" i="4"/>
  <c r="J17" i="4"/>
  <c r="J18" i="4"/>
  <c r="J19" i="4"/>
  <c r="J20" i="4"/>
  <c r="J21" i="4"/>
  <c r="J22" i="4"/>
  <c r="J23" i="4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N5" i="23"/>
  <c r="N4" i="23"/>
  <c r="N3" i="23"/>
  <c r="N2" i="23"/>
  <c r="N5" i="22"/>
  <c r="N4" i="22"/>
  <c r="N3" i="22"/>
  <c r="N2" i="22"/>
  <c r="N5" i="21"/>
  <c r="N4" i="21"/>
  <c r="N3" i="21"/>
  <c r="N2" i="21"/>
  <c r="N5" i="20"/>
  <c r="N4" i="20"/>
  <c r="N3" i="20"/>
  <c r="N2" i="20"/>
  <c r="N5" i="19"/>
  <c r="N4" i="19"/>
  <c r="N3" i="19"/>
  <c r="N2" i="19"/>
  <c r="N5" i="18"/>
  <c r="N4" i="18"/>
  <c r="N3" i="18"/>
  <c r="N2" i="18"/>
  <c r="N5" i="17"/>
  <c r="N4" i="17"/>
  <c r="N3" i="17"/>
  <c r="N2" i="17"/>
  <c r="N5" i="16"/>
  <c r="N4" i="16"/>
  <c r="N3" i="16"/>
  <c r="N2" i="16"/>
  <c r="N5" i="15"/>
  <c r="N4" i="15"/>
  <c r="N3" i="15"/>
  <c r="N2" i="15"/>
  <c r="N5" i="14"/>
  <c r="N4" i="14"/>
  <c r="N3" i="14"/>
  <c r="N2" i="14"/>
  <c r="N5" i="13"/>
  <c r="N4" i="13"/>
  <c r="N3" i="13"/>
  <c r="N2" i="13"/>
  <c r="N5" i="12"/>
  <c r="N4" i="12"/>
  <c r="N3" i="12"/>
  <c r="N2" i="12"/>
  <c r="N5" i="11"/>
  <c r="N4" i="11"/>
  <c r="N3" i="11"/>
  <c r="N2" i="11"/>
  <c r="N5" i="10"/>
  <c r="N4" i="10"/>
  <c r="N3" i="10"/>
  <c r="N2" i="10"/>
  <c r="N5" i="9"/>
  <c r="N4" i="9"/>
  <c r="N3" i="9"/>
  <c r="N2" i="9"/>
  <c r="N5" i="8"/>
  <c r="N4" i="8"/>
  <c r="N3" i="8"/>
  <c r="N2" i="8"/>
  <c r="N5" i="7"/>
  <c r="N4" i="7"/>
  <c r="N3" i="7"/>
  <c r="N2" i="7"/>
  <c r="N5" i="6"/>
  <c r="N4" i="6"/>
  <c r="N3" i="6"/>
  <c r="N2" i="6"/>
  <c r="N5" i="5"/>
  <c r="N4" i="5"/>
  <c r="N3" i="5"/>
  <c r="N2" i="5"/>
  <c r="N5" i="4"/>
  <c r="N4" i="4"/>
  <c r="N3" i="4"/>
  <c r="N2" i="4"/>
  <c r="N5" i="3"/>
  <c r="N4" i="3"/>
  <c r="N3" i="3"/>
  <c r="N2" i="3"/>
  <c r="N5" i="2"/>
  <c r="N4" i="2"/>
  <c r="N3" i="2"/>
  <c r="N2" i="2"/>
  <c r="A1" i="25"/>
  <c r="J100" i="23"/>
  <c r="K100" i="23" s="1"/>
  <c r="H100" i="23"/>
  <c r="I100" i="23" s="1"/>
  <c r="E100" i="23"/>
  <c r="F100" i="23" s="1"/>
  <c r="J99" i="23"/>
  <c r="K99" i="23" s="1"/>
  <c r="H99" i="23"/>
  <c r="I99" i="23" s="1"/>
  <c r="E99" i="23"/>
  <c r="F99" i="23" s="1"/>
  <c r="J98" i="23"/>
  <c r="K98" i="23" s="1"/>
  <c r="H98" i="23"/>
  <c r="I98" i="23" s="1"/>
  <c r="E98" i="23"/>
  <c r="F98" i="23" s="1"/>
  <c r="J97" i="23"/>
  <c r="K97" i="23" s="1"/>
  <c r="H97" i="23"/>
  <c r="I97" i="23" s="1"/>
  <c r="E97" i="23"/>
  <c r="F97" i="23" s="1"/>
  <c r="J96" i="23"/>
  <c r="K96" i="23" s="1"/>
  <c r="H96" i="23"/>
  <c r="I96" i="23" s="1"/>
  <c r="E96" i="23"/>
  <c r="F96" i="23" s="1"/>
  <c r="J95" i="23"/>
  <c r="K95" i="23" s="1"/>
  <c r="H95" i="23"/>
  <c r="I95" i="23" s="1"/>
  <c r="E95" i="23"/>
  <c r="F95" i="23" s="1"/>
  <c r="J94" i="23"/>
  <c r="K94" i="23" s="1"/>
  <c r="H94" i="23"/>
  <c r="I94" i="23" s="1"/>
  <c r="E94" i="23"/>
  <c r="F94" i="23" s="1"/>
  <c r="J93" i="23"/>
  <c r="K93" i="23" s="1"/>
  <c r="H93" i="23"/>
  <c r="I93" i="23" s="1"/>
  <c r="E93" i="23"/>
  <c r="F93" i="23" s="1"/>
  <c r="J92" i="23"/>
  <c r="K92" i="23" s="1"/>
  <c r="H92" i="23"/>
  <c r="I92" i="23" s="1"/>
  <c r="E92" i="23"/>
  <c r="F92" i="23" s="1"/>
  <c r="J91" i="23"/>
  <c r="K91" i="23" s="1"/>
  <c r="H91" i="23"/>
  <c r="I91" i="23" s="1"/>
  <c r="E91" i="23"/>
  <c r="F91" i="23" s="1"/>
  <c r="J90" i="23"/>
  <c r="K90" i="23" s="1"/>
  <c r="H90" i="23"/>
  <c r="I90" i="23" s="1"/>
  <c r="E90" i="23"/>
  <c r="F90" i="23" s="1"/>
  <c r="J89" i="23"/>
  <c r="K89" i="23" s="1"/>
  <c r="H89" i="23"/>
  <c r="I89" i="23" s="1"/>
  <c r="E89" i="23"/>
  <c r="F89" i="23" s="1"/>
  <c r="J88" i="23"/>
  <c r="K88" i="23" s="1"/>
  <c r="H88" i="23"/>
  <c r="I88" i="23" s="1"/>
  <c r="E88" i="23"/>
  <c r="F88" i="23" s="1"/>
  <c r="J87" i="23"/>
  <c r="K87" i="23" s="1"/>
  <c r="H87" i="23"/>
  <c r="I87" i="23" s="1"/>
  <c r="E87" i="23"/>
  <c r="F87" i="23" s="1"/>
  <c r="H22" i="23"/>
  <c r="H21" i="23"/>
  <c r="I21" i="23" s="1"/>
  <c r="E21" i="23"/>
  <c r="H20" i="23"/>
  <c r="I20" i="23" s="1"/>
  <c r="E20" i="23"/>
  <c r="F20" i="23" s="1"/>
  <c r="H19" i="23"/>
  <c r="I19" i="23" s="1"/>
  <c r="E19" i="23"/>
  <c r="F19" i="23" s="1"/>
  <c r="J18" i="23"/>
  <c r="H18" i="23"/>
  <c r="I18" i="23" s="1"/>
  <c r="E18" i="23"/>
  <c r="F18" i="23" s="1"/>
  <c r="J17" i="23"/>
  <c r="H17" i="23"/>
  <c r="I17" i="23" s="1"/>
  <c r="E17" i="23"/>
  <c r="F17" i="23" s="1"/>
  <c r="J16" i="23"/>
  <c r="H16" i="23"/>
  <c r="I16" i="23" s="1"/>
  <c r="E16" i="23"/>
  <c r="F16" i="23" s="1"/>
  <c r="J15" i="23"/>
  <c r="H15" i="23"/>
  <c r="I15" i="23" s="1"/>
  <c r="E15" i="23"/>
  <c r="F15" i="23" s="1"/>
  <c r="H14" i="23"/>
  <c r="I14" i="23" s="1"/>
  <c r="E14" i="23"/>
  <c r="F14" i="23" s="1"/>
  <c r="H13" i="23"/>
  <c r="I13" i="23" s="1"/>
  <c r="E13" i="23"/>
  <c r="F13" i="23" s="1"/>
  <c r="K12" i="23"/>
  <c r="H12" i="23"/>
  <c r="I12" i="23" s="1"/>
  <c r="E12" i="23"/>
  <c r="F12" i="23" s="1"/>
  <c r="K11" i="23"/>
  <c r="H11" i="23"/>
  <c r="I11" i="23" s="1"/>
  <c r="E11" i="23"/>
  <c r="F11" i="23" s="1"/>
  <c r="K10" i="23"/>
  <c r="H10" i="23"/>
  <c r="I10" i="23" s="1"/>
  <c r="E10" i="23"/>
  <c r="F10" i="23" s="1"/>
  <c r="K9" i="23"/>
  <c r="H9" i="23"/>
  <c r="I9" i="23" s="1"/>
  <c r="E9" i="23"/>
  <c r="F9" i="23" s="1"/>
  <c r="H5" i="23"/>
  <c r="E5" i="23"/>
  <c r="C5" i="23"/>
  <c r="B5" i="23"/>
  <c r="A5" i="23"/>
  <c r="H2" i="23"/>
  <c r="E2" i="23"/>
  <c r="C2" i="23"/>
  <c r="B2" i="23"/>
  <c r="A2" i="23"/>
  <c r="H6" i="23"/>
  <c r="E6" i="23"/>
  <c r="J6" i="23" s="1"/>
  <c r="B6" i="23"/>
  <c r="A6" i="23"/>
  <c r="H4" i="23"/>
  <c r="E4" i="23"/>
  <c r="J4" i="23" s="1"/>
  <c r="B4" i="23"/>
  <c r="A4" i="23"/>
  <c r="H8" i="23"/>
  <c r="I8" i="23" s="1"/>
  <c r="E8" i="23"/>
  <c r="F8" i="23" s="1"/>
  <c r="B8" i="23"/>
  <c r="A8" i="23"/>
  <c r="H7" i="23"/>
  <c r="E7" i="23"/>
  <c r="J7" i="23" s="1"/>
  <c r="B7" i="23"/>
  <c r="A7" i="23"/>
  <c r="H3" i="23"/>
  <c r="E3" i="23"/>
  <c r="J3" i="23" s="1"/>
  <c r="C3" i="23"/>
  <c r="B3" i="23"/>
  <c r="A3" i="23"/>
  <c r="K100" i="22"/>
  <c r="J100" i="22"/>
  <c r="H100" i="22"/>
  <c r="I100" i="22" s="1"/>
  <c r="E100" i="22"/>
  <c r="F100" i="22" s="1"/>
  <c r="J99" i="22"/>
  <c r="K99" i="22" s="1"/>
  <c r="H99" i="22"/>
  <c r="I99" i="22" s="1"/>
  <c r="E99" i="22"/>
  <c r="F99" i="22" s="1"/>
  <c r="K98" i="22"/>
  <c r="J98" i="22"/>
  <c r="H98" i="22"/>
  <c r="I98" i="22" s="1"/>
  <c r="E98" i="22"/>
  <c r="F98" i="22" s="1"/>
  <c r="J97" i="22"/>
  <c r="K97" i="22" s="1"/>
  <c r="H97" i="22"/>
  <c r="I97" i="22" s="1"/>
  <c r="E97" i="22"/>
  <c r="F97" i="22" s="1"/>
  <c r="K96" i="22"/>
  <c r="J96" i="22"/>
  <c r="H96" i="22"/>
  <c r="I96" i="22" s="1"/>
  <c r="E96" i="22"/>
  <c r="F96" i="22" s="1"/>
  <c r="J95" i="22"/>
  <c r="K95" i="22" s="1"/>
  <c r="H95" i="22"/>
  <c r="I95" i="22" s="1"/>
  <c r="E95" i="22"/>
  <c r="F95" i="22" s="1"/>
  <c r="K94" i="22"/>
  <c r="H94" i="22"/>
  <c r="I94" i="22" s="1"/>
  <c r="E94" i="22"/>
  <c r="F94" i="22" s="1"/>
  <c r="K93" i="22"/>
  <c r="H93" i="22"/>
  <c r="I93" i="22" s="1"/>
  <c r="E93" i="22"/>
  <c r="F93" i="22" s="1"/>
  <c r="K92" i="22"/>
  <c r="H92" i="22"/>
  <c r="I92" i="22" s="1"/>
  <c r="E92" i="22"/>
  <c r="F92" i="22" s="1"/>
  <c r="K91" i="22"/>
  <c r="H91" i="22"/>
  <c r="I91" i="22" s="1"/>
  <c r="E91" i="22"/>
  <c r="F91" i="22" s="1"/>
  <c r="K90" i="22"/>
  <c r="H90" i="22"/>
  <c r="I90" i="22" s="1"/>
  <c r="E90" i="22"/>
  <c r="F90" i="22" s="1"/>
  <c r="K89" i="22"/>
  <c r="H89" i="22"/>
  <c r="I89" i="22" s="1"/>
  <c r="E89" i="22"/>
  <c r="F89" i="22" s="1"/>
  <c r="K88" i="22"/>
  <c r="H88" i="22"/>
  <c r="I88" i="22" s="1"/>
  <c r="E88" i="22"/>
  <c r="F88" i="22" s="1"/>
  <c r="K87" i="22"/>
  <c r="H87" i="22"/>
  <c r="I87" i="22" s="1"/>
  <c r="E87" i="22"/>
  <c r="F87" i="22" s="1"/>
  <c r="H86" i="22"/>
  <c r="I86" i="22" s="1"/>
  <c r="E86" i="22"/>
  <c r="F86" i="22" s="1"/>
  <c r="K85" i="22"/>
  <c r="H85" i="22"/>
  <c r="I85" i="22" s="1"/>
  <c r="E85" i="22"/>
  <c r="F85" i="22" s="1"/>
  <c r="K84" i="22"/>
  <c r="H84" i="22"/>
  <c r="I84" i="22" s="1"/>
  <c r="E84" i="22"/>
  <c r="F84" i="22" s="1"/>
  <c r="K83" i="22"/>
  <c r="H83" i="22"/>
  <c r="I83" i="22" s="1"/>
  <c r="E83" i="22"/>
  <c r="F83" i="22" s="1"/>
  <c r="K82" i="22"/>
  <c r="H82" i="22"/>
  <c r="I82" i="22" s="1"/>
  <c r="E82" i="22"/>
  <c r="F82" i="22" s="1"/>
  <c r="K81" i="22"/>
  <c r="H81" i="22"/>
  <c r="I81" i="22" s="1"/>
  <c r="E81" i="22"/>
  <c r="F81" i="22" s="1"/>
  <c r="K80" i="22"/>
  <c r="H80" i="22"/>
  <c r="I80" i="22" s="1"/>
  <c r="E80" i="22"/>
  <c r="F80" i="22" s="1"/>
  <c r="K79" i="22"/>
  <c r="H79" i="22"/>
  <c r="I79" i="22" s="1"/>
  <c r="E79" i="22"/>
  <c r="F79" i="22" s="1"/>
  <c r="K78" i="22"/>
  <c r="H78" i="22"/>
  <c r="I78" i="22" s="1"/>
  <c r="E78" i="22"/>
  <c r="F78" i="22" s="1"/>
  <c r="K77" i="22"/>
  <c r="H77" i="22"/>
  <c r="I77" i="22" s="1"/>
  <c r="E77" i="22"/>
  <c r="F77" i="22" s="1"/>
  <c r="K76" i="22"/>
  <c r="H76" i="22"/>
  <c r="I76" i="22" s="1"/>
  <c r="E76" i="22"/>
  <c r="F76" i="22" s="1"/>
  <c r="K75" i="22"/>
  <c r="H75" i="22"/>
  <c r="I75" i="22" s="1"/>
  <c r="E75" i="22"/>
  <c r="F75" i="22" s="1"/>
  <c r="H74" i="22"/>
  <c r="I74" i="22" s="1"/>
  <c r="E74" i="22"/>
  <c r="F74" i="22" s="1"/>
  <c r="K73" i="22"/>
  <c r="H73" i="22"/>
  <c r="I73" i="22" s="1"/>
  <c r="E73" i="22"/>
  <c r="F73" i="22" s="1"/>
  <c r="K72" i="22"/>
  <c r="H72" i="22"/>
  <c r="I72" i="22" s="1"/>
  <c r="E72" i="22"/>
  <c r="F72" i="22" s="1"/>
  <c r="K71" i="22"/>
  <c r="H71" i="22"/>
  <c r="I71" i="22" s="1"/>
  <c r="E71" i="22"/>
  <c r="F71" i="22" s="1"/>
  <c r="K70" i="22"/>
  <c r="H70" i="22"/>
  <c r="I70" i="22" s="1"/>
  <c r="E70" i="22"/>
  <c r="F70" i="22" s="1"/>
  <c r="K69" i="22"/>
  <c r="H69" i="22"/>
  <c r="I69" i="22" s="1"/>
  <c r="E69" i="22"/>
  <c r="F69" i="22" s="1"/>
  <c r="K68" i="22"/>
  <c r="H68" i="22"/>
  <c r="I68" i="22" s="1"/>
  <c r="E68" i="22"/>
  <c r="F68" i="22" s="1"/>
  <c r="K67" i="22"/>
  <c r="H67" i="22"/>
  <c r="I67" i="22" s="1"/>
  <c r="E67" i="22"/>
  <c r="F67" i="22" s="1"/>
  <c r="K66" i="22"/>
  <c r="H66" i="22"/>
  <c r="I66" i="22" s="1"/>
  <c r="E66" i="22"/>
  <c r="F66" i="22" s="1"/>
  <c r="K65" i="22"/>
  <c r="H65" i="22"/>
  <c r="I65" i="22" s="1"/>
  <c r="E65" i="22"/>
  <c r="F65" i="22" s="1"/>
  <c r="K64" i="22"/>
  <c r="H64" i="22"/>
  <c r="I64" i="22" s="1"/>
  <c r="E64" i="22"/>
  <c r="F64" i="22" s="1"/>
  <c r="K63" i="22"/>
  <c r="H63" i="22"/>
  <c r="I63" i="22" s="1"/>
  <c r="E63" i="22"/>
  <c r="F63" i="22" s="1"/>
  <c r="H62" i="22"/>
  <c r="I62" i="22" s="1"/>
  <c r="E62" i="22"/>
  <c r="F62" i="22" s="1"/>
  <c r="K61" i="22"/>
  <c r="H61" i="22"/>
  <c r="I61" i="22" s="1"/>
  <c r="E61" i="22"/>
  <c r="F61" i="22" s="1"/>
  <c r="K60" i="22"/>
  <c r="H60" i="22"/>
  <c r="I60" i="22" s="1"/>
  <c r="E60" i="22"/>
  <c r="F60" i="22" s="1"/>
  <c r="K59" i="22"/>
  <c r="H59" i="22"/>
  <c r="I59" i="22" s="1"/>
  <c r="E59" i="22"/>
  <c r="F59" i="22" s="1"/>
  <c r="K58" i="22"/>
  <c r="H58" i="22"/>
  <c r="I58" i="22" s="1"/>
  <c r="E58" i="22"/>
  <c r="F58" i="22" s="1"/>
  <c r="K57" i="22"/>
  <c r="H57" i="22"/>
  <c r="I57" i="22" s="1"/>
  <c r="E57" i="22"/>
  <c r="F57" i="22" s="1"/>
  <c r="K56" i="22"/>
  <c r="H56" i="22"/>
  <c r="I56" i="22" s="1"/>
  <c r="E56" i="22"/>
  <c r="F56" i="22" s="1"/>
  <c r="K55" i="22"/>
  <c r="H55" i="22"/>
  <c r="I55" i="22" s="1"/>
  <c r="E55" i="22"/>
  <c r="F55" i="22" s="1"/>
  <c r="K54" i="22"/>
  <c r="H54" i="22"/>
  <c r="I54" i="22" s="1"/>
  <c r="E54" i="22"/>
  <c r="F54" i="22" s="1"/>
  <c r="K53" i="22"/>
  <c r="H53" i="22"/>
  <c r="I53" i="22" s="1"/>
  <c r="E53" i="22"/>
  <c r="F53" i="22" s="1"/>
  <c r="K52" i="22"/>
  <c r="H52" i="22"/>
  <c r="I52" i="22" s="1"/>
  <c r="E52" i="22"/>
  <c r="F52" i="22" s="1"/>
  <c r="K51" i="22"/>
  <c r="H51" i="22"/>
  <c r="I51" i="22" s="1"/>
  <c r="E51" i="22"/>
  <c r="F51" i="22" s="1"/>
  <c r="H50" i="22"/>
  <c r="I50" i="22" s="1"/>
  <c r="E50" i="22"/>
  <c r="F50" i="22" s="1"/>
  <c r="K49" i="22"/>
  <c r="H49" i="22"/>
  <c r="I49" i="22" s="1"/>
  <c r="E49" i="22"/>
  <c r="F49" i="22" s="1"/>
  <c r="K48" i="22"/>
  <c r="H48" i="22"/>
  <c r="I48" i="22" s="1"/>
  <c r="E48" i="22"/>
  <c r="F48" i="22" s="1"/>
  <c r="K47" i="22"/>
  <c r="H47" i="22"/>
  <c r="I47" i="22" s="1"/>
  <c r="E47" i="22"/>
  <c r="F47" i="22" s="1"/>
  <c r="K46" i="22"/>
  <c r="H46" i="22"/>
  <c r="I46" i="22" s="1"/>
  <c r="E46" i="22"/>
  <c r="F46" i="22" s="1"/>
  <c r="K45" i="22"/>
  <c r="H45" i="22"/>
  <c r="I45" i="22" s="1"/>
  <c r="E45" i="22"/>
  <c r="F45" i="22" s="1"/>
  <c r="K44" i="22"/>
  <c r="H44" i="22"/>
  <c r="I44" i="22" s="1"/>
  <c r="E44" i="22"/>
  <c r="F44" i="22" s="1"/>
  <c r="K43" i="22"/>
  <c r="H43" i="22"/>
  <c r="I43" i="22" s="1"/>
  <c r="E43" i="22"/>
  <c r="F43" i="22" s="1"/>
  <c r="K42" i="22"/>
  <c r="H42" i="22"/>
  <c r="I42" i="22" s="1"/>
  <c r="E42" i="22"/>
  <c r="F42" i="22" s="1"/>
  <c r="K41" i="22"/>
  <c r="H41" i="22"/>
  <c r="I41" i="22" s="1"/>
  <c r="E41" i="22"/>
  <c r="F41" i="22" s="1"/>
  <c r="K40" i="22"/>
  <c r="H40" i="22"/>
  <c r="I40" i="22" s="1"/>
  <c r="E40" i="22"/>
  <c r="F40" i="22" s="1"/>
  <c r="K39" i="22"/>
  <c r="H39" i="22"/>
  <c r="I39" i="22" s="1"/>
  <c r="E39" i="22"/>
  <c r="F39" i="22" s="1"/>
  <c r="H38" i="22"/>
  <c r="I38" i="22" s="1"/>
  <c r="E38" i="22"/>
  <c r="F38" i="22" s="1"/>
  <c r="K37" i="22"/>
  <c r="H37" i="22"/>
  <c r="I37" i="22" s="1"/>
  <c r="E37" i="22"/>
  <c r="F37" i="22" s="1"/>
  <c r="K36" i="22"/>
  <c r="H36" i="22"/>
  <c r="I36" i="22" s="1"/>
  <c r="E36" i="22"/>
  <c r="F36" i="22" s="1"/>
  <c r="K35" i="22"/>
  <c r="H35" i="22"/>
  <c r="I35" i="22" s="1"/>
  <c r="E35" i="22"/>
  <c r="F35" i="22" s="1"/>
  <c r="K34" i="22"/>
  <c r="H34" i="22"/>
  <c r="I34" i="22" s="1"/>
  <c r="E34" i="22"/>
  <c r="F34" i="22" s="1"/>
  <c r="K33" i="22"/>
  <c r="H33" i="22"/>
  <c r="I33" i="22" s="1"/>
  <c r="E33" i="22"/>
  <c r="F33" i="22" s="1"/>
  <c r="K32" i="22"/>
  <c r="H32" i="22"/>
  <c r="I32" i="22" s="1"/>
  <c r="E32" i="22"/>
  <c r="F32" i="22" s="1"/>
  <c r="K31" i="22"/>
  <c r="H31" i="22"/>
  <c r="I31" i="22" s="1"/>
  <c r="E31" i="22"/>
  <c r="F31" i="22" s="1"/>
  <c r="K30" i="22"/>
  <c r="H30" i="22"/>
  <c r="I30" i="22" s="1"/>
  <c r="E30" i="22"/>
  <c r="F30" i="22" s="1"/>
  <c r="K29" i="22"/>
  <c r="H29" i="22"/>
  <c r="I29" i="22" s="1"/>
  <c r="E29" i="22"/>
  <c r="F29" i="22" s="1"/>
  <c r="K28" i="22"/>
  <c r="H28" i="22"/>
  <c r="I28" i="22" s="1"/>
  <c r="E28" i="22"/>
  <c r="F28" i="22" s="1"/>
  <c r="K27" i="22"/>
  <c r="H27" i="22"/>
  <c r="I27" i="22" s="1"/>
  <c r="E27" i="22"/>
  <c r="F27" i="22" s="1"/>
  <c r="H26" i="22"/>
  <c r="I26" i="22" s="1"/>
  <c r="E26" i="22"/>
  <c r="F26" i="22" s="1"/>
  <c r="K25" i="22"/>
  <c r="H25" i="22"/>
  <c r="I25" i="22" s="1"/>
  <c r="E25" i="22"/>
  <c r="F25" i="22" s="1"/>
  <c r="K24" i="22"/>
  <c r="H24" i="22"/>
  <c r="I24" i="22" s="1"/>
  <c r="E24" i="22"/>
  <c r="F24" i="22" s="1"/>
  <c r="K23" i="22"/>
  <c r="H23" i="22"/>
  <c r="I23" i="22" s="1"/>
  <c r="E23" i="22"/>
  <c r="F23" i="22" s="1"/>
  <c r="K22" i="22"/>
  <c r="H22" i="22"/>
  <c r="I22" i="22" s="1"/>
  <c r="E22" i="22"/>
  <c r="F22" i="22" s="1"/>
  <c r="K21" i="22"/>
  <c r="H21" i="22"/>
  <c r="I21" i="22" s="1"/>
  <c r="E21" i="22"/>
  <c r="F21" i="22" s="1"/>
  <c r="K20" i="22"/>
  <c r="H20" i="22"/>
  <c r="I20" i="22" s="1"/>
  <c r="E20" i="22"/>
  <c r="F20" i="22" s="1"/>
  <c r="K19" i="22"/>
  <c r="H19" i="22"/>
  <c r="I19" i="22" s="1"/>
  <c r="E19" i="22"/>
  <c r="F19" i="22" s="1"/>
  <c r="K18" i="22"/>
  <c r="H18" i="22"/>
  <c r="I18" i="22" s="1"/>
  <c r="E18" i="22"/>
  <c r="F18" i="22" s="1"/>
  <c r="K17" i="22"/>
  <c r="H17" i="22"/>
  <c r="I17" i="22" s="1"/>
  <c r="E17" i="22"/>
  <c r="F17" i="22" s="1"/>
  <c r="K16" i="22"/>
  <c r="H16" i="22"/>
  <c r="I16" i="22" s="1"/>
  <c r="E16" i="22"/>
  <c r="F16" i="22" s="1"/>
  <c r="K15" i="22"/>
  <c r="H15" i="22"/>
  <c r="I15" i="22" s="1"/>
  <c r="E15" i="22"/>
  <c r="F15" i="22" s="1"/>
  <c r="H14" i="22"/>
  <c r="I14" i="22" s="1"/>
  <c r="E14" i="22"/>
  <c r="F14" i="22" s="1"/>
  <c r="K13" i="22"/>
  <c r="H13" i="22"/>
  <c r="I13" i="22" s="1"/>
  <c r="E13" i="22"/>
  <c r="F13" i="22" s="1"/>
  <c r="K12" i="22"/>
  <c r="H12" i="22"/>
  <c r="I12" i="22" s="1"/>
  <c r="E12" i="22"/>
  <c r="F12" i="22" s="1"/>
  <c r="K11" i="22"/>
  <c r="H11" i="22"/>
  <c r="I11" i="22" s="1"/>
  <c r="E11" i="22"/>
  <c r="F11" i="22" s="1"/>
  <c r="K10" i="22"/>
  <c r="H10" i="22"/>
  <c r="I10" i="22" s="1"/>
  <c r="E10" i="22"/>
  <c r="F10" i="22" s="1"/>
  <c r="K9" i="22"/>
  <c r="H9" i="22"/>
  <c r="I9" i="22" s="1"/>
  <c r="E9" i="22"/>
  <c r="F9" i="22" s="1"/>
  <c r="K8" i="22"/>
  <c r="H8" i="22"/>
  <c r="I8" i="22" s="1"/>
  <c r="E8" i="22"/>
  <c r="F8" i="22" s="1"/>
  <c r="K7" i="22"/>
  <c r="H7" i="22"/>
  <c r="I7" i="22" s="1"/>
  <c r="E7" i="22"/>
  <c r="F7" i="22" s="1"/>
  <c r="K6" i="22"/>
  <c r="H6" i="22"/>
  <c r="I6" i="22" s="1"/>
  <c r="E6" i="22"/>
  <c r="F6" i="22" s="1"/>
  <c r="K5" i="22"/>
  <c r="H5" i="22"/>
  <c r="I5" i="22" s="1"/>
  <c r="E5" i="22"/>
  <c r="F5" i="22" s="1"/>
  <c r="K4" i="22"/>
  <c r="H4" i="22"/>
  <c r="I4" i="22" s="1"/>
  <c r="E4" i="22"/>
  <c r="H2" i="22"/>
  <c r="E2" i="22"/>
  <c r="C2" i="22"/>
  <c r="B2" i="22"/>
  <c r="A2" i="22"/>
  <c r="H3" i="22"/>
  <c r="E3" i="22"/>
  <c r="C3" i="22"/>
  <c r="B3" i="22"/>
  <c r="A3" i="22"/>
  <c r="J100" i="21"/>
  <c r="K100" i="21" s="1"/>
  <c r="H100" i="21"/>
  <c r="I100" i="21" s="1"/>
  <c r="E100" i="21"/>
  <c r="F100" i="21" s="1"/>
  <c r="J99" i="21"/>
  <c r="K99" i="21" s="1"/>
  <c r="H99" i="21"/>
  <c r="I99" i="21" s="1"/>
  <c r="E99" i="21"/>
  <c r="F99" i="21" s="1"/>
  <c r="K98" i="21"/>
  <c r="J98" i="21"/>
  <c r="H98" i="21"/>
  <c r="I98" i="21" s="1"/>
  <c r="E98" i="21"/>
  <c r="F98" i="21" s="1"/>
  <c r="J97" i="21"/>
  <c r="K97" i="21" s="1"/>
  <c r="H97" i="21"/>
  <c r="I97" i="21" s="1"/>
  <c r="E97" i="21"/>
  <c r="F97" i="21" s="1"/>
  <c r="K96" i="21"/>
  <c r="J96" i="21"/>
  <c r="H96" i="21"/>
  <c r="I96" i="21" s="1"/>
  <c r="E96" i="21"/>
  <c r="F96" i="21" s="1"/>
  <c r="J95" i="21"/>
  <c r="K95" i="21" s="1"/>
  <c r="H95" i="21"/>
  <c r="I95" i="21" s="1"/>
  <c r="E95" i="21"/>
  <c r="F95" i="21" s="1"/>
  <c r="K94" i="21"/>
  <c r="J94" i="21"/>
  <c r="H94" i="21"/>
  <c r="I94" i="21" s="1"/>
  <c r="E94" i="21"/>
  <c r="F94" i="21" s="1"/>
  <c r="J93" i="21"/>
  <c r="K93" i="21" s="1"/>
  <c r="H93" i="21"/>
  <c r="I93" i="21" s="1"/>
  <c r="E93" i="21"/>
  <c r="F93" i="21" s="1"/>
  <c r="J92" i="21"/>
  <c r="K92" i="21" s="1"/>
  <c r="H92" i="21"/>
  <c r="I92" i="21" s="1"/>
  <c r="E92" i="21"/>
  <c r="F92" i="21" s="1"/>
  <c r="J91" i="21"/>
  <c r="K91" i="21" s="1"/>
  <c r="H91" i="21"/>
  <c r="I91" i="21" s="1"/>
  <c r="E91" i="21"/>
  <c r="F91" i="21" s="1"/>
  <c r="J90" i="21"/>
  <c r="K90" i="21" s="1"/>
  <c r="H90" i="21"/>
  <c r="I90" i="21" s="1"/>
  <c r="E90" i="21"/>
  <c r="F90" i="21" s="1"/>
  <c r="J89" i="21"/>
  <c r="K89" i="21" s="1"/>
  <c r="H89" i="21"/>
  <c r="I89" i="21" s="1"/>
  <c r="E89" i="21"/>
  <c r="F89" i="21" s="1"/>
  <c r="K88" i="21"/>
  <c r="J88" i="21"/>
  <c r="H88" i="21"/>
  <c r="I88" i="21" s="1"/>
  <c r="E88" i="21"/>
  <c r="F88" i="21" s="1"/>
  <c r="J87" i="21"/>
  <c r="K87" i="21" s="1"/>
  <c r="H87" i="21"/>
  <c r="I87" i="21" s="1"/>
  <c r="E87" i="21"/>
  <c r="F87" i="21" s="1"/>
  <c r="J86" i="21"/>
  <c r="K86" i="21" s="1"/>
  <c r="H86" i="21"/>
  <c r="I86" i="21" s="1"/>
  <c r="E86" i="21"/>
  <c r="F86" i="21" s="1"/>
  <c r="J85" i="21"/>
  <c r="K85" i="21" s="1"/>
  <c r="H85" i="21"/>
  <c r="I85" i="21" s="1"/>
  <c r="E85" i="21"/>
  <c r="F85" i="21" s="1"/>
  <c r="J84" i="21"/>
  <c r="K84" i="21" s="1"/>
  <c r="H84" i="21"/>
  <c r="I84" i="21" s="1"/>
  <c r="E84" i="21"/>
  <c r="F84" i="21" s="1"/>
  <c r="J83" i="21"/>
  <c r="K83" i="21" s="1"/>
  <c r="H83" i="21"/>
  <c r="I83" i="21" s="1"/>
  <c r="E83" i="21"/>
  <c r="F83" i="21" s="1"/>
  <c r="K82" i="21"/>
  <c r="J82" i="21"/>
  <c r="H82" i="21"/>
  <c r="I82" i="21" s="1"/>
  <c r="E82" i="21"/>
  <c r="F82" i="21" s="1"/>
  <c r="J81" i="21"/>
  <c r="K81" i="21" s="1"/>
  <c r="H81" i="21"/>
  <c r="I81" i="21" s="1"/>
  <c r="E81" i="21"/>
  <c r="F81" i="21" s="1"/>
  <c r="J80" i="21"/>
  <c r="K80" i="21" s="1"/>
  <c r="H80" i="21"/>
  <c r="I80" i="21" s="1"/>
  <c r="E80" i="21"/>
  <c r="F80" i="21" s="1"/>
  <c r="J79" i="21"/>
  <c r="K79" i="21" s="1"/>
  <c r="H79" i="21"/>
  <c r="I79" i="21" s="1"/>
  <c r="E79" i="21"/>
  <c r="F79" i="21" s="1"/>
  <c r="J78" i="21"/>
  <c r="K78" i="21" s="1"/>
  <c r="H78" i="21"/>
  <c r="I78" i="21" s="1"/>
  <c r="E78" i="21"/>
  <c r="F78" i="21" s="1"/>
  <c r="J77" i="21"/>
  <c r="K77" i="21" s="1"/>
  <c r="H77" i="21"/>
  <c r="I77" i="21" s="1"/>
  <c r="E77" i="21"/>
  <c r="F77" i="21" s="1"/>
  <c r="J76" i="21"/>
  <c r="K76" i="21" s="1"/>
  <c r="H76" i="21"/>
  <c r="I76" i="21" s="1"/>
  <c r="E76" i="21"/>
  <c r="F76" i="21" s="1"/>
  <c r="J75" i="21"/>
  <c r="K75" i="21" s="1"/>
  <c r="H75" i="21"/>
  <c r="I75" i="21" s="1"/>
  <c r="E75" i="21"/>
  <c r="F75" i="21" s="1"/>
  <c r="K74" i="21"/>
  <c r="J74" i="21"/>
  <c r="H74" i="21"/>
  <c r="I74" i="21" s="1"/>
  <c r="E74" i="21"/>
  <c r="F74" i="21" s="1"/>
  <c r="J73" i="21"/>
  <c r="K73" i="21" s="1"/>
  <c r="H73" i="21"/>
  <c r="I73" i="21" s="1"/>
  <c r="E73" i="21"/>
  <c r="F73" i="21" s="1"/>
  <c r="K72" i="21"/>
  <c r="J72" i="21"/>
  <c r="H72" i="21"/>
  <c r="I72" i="21" s="1"/>
  <c r="E72" i="21"/>
  <c r="F72" i="21" s="1"/>
  <c r="J71" i="21"/>
  <c r="K71" i="21" s="1"/>
  <c r="H71" i="21"/>
  <c r="I71" i="21" s="1"/>
  <c r="E71" i="21"/>
  <c r="F71" i="21" s="1"/>
  <c r="K70" i="21"/>
  <c r="J70" i="21"/>
  <c r="H70" i="21"/>
  <c r="I70" i="21" s="1"/>
  <c r="E70" i="21"/>
  <c r="F70" i="21" s="1"/>
  <c r="J69" i="21"/>
  <c r="K69" i="21" s="1"/>
  <c r="H69" i="21"/>
  <c r="I69" i="21" s="1"/>
  <c r="E69" i="21"/>
  <c r="F69" i="21" s="1"/>
  <c r="J68" i="21"/>
  <c r="K68" i="21" s="1"/>
  <c r="H68" i="21"/>
  <c r="I68" i="21" s="1"/>
  <c r="E68" i="21"/>
  <c r="F68" i="21" s="1"/>
  <c r="J67" i="21"/>
  <c r="K67" i="21" s="1"/>
  <c r="H67" i="21"/>
  <c r="I67" i="21" s="1"/>
  <c r="E67" i="21"/>
  <c r="F67" i="21" s="1"/>
  <c r="J66" i="21"/>
  <c r="K66" i="21" s="1"/>
  <c r="H66" i="21"/>
  <c r="I66" i="21" s="1"/>
  <c r="E66" i="21"/>
  <c r="F66" i="21" s="1"/>
  <c r="J65" i="21"/>
  <c r="K65" i="21" s="1"/>
  <c r="H65" i="21"/>
  <c r="I65" i="21" s="1"/>
  <c r="E65" i="21"/>
  <c r="F65" i="21" s="1"/>
  <c r="K64" i="21"/>
  <c r="J64" i="21"/>
  <c r="H64" i="21"/>
  <c r="I64" i="21" s="1"/>
  <c r="E64" i="21"/>
  <c r="F64" i="21" s="1"/>
  <c r="J63" i="21"/>
  <c r="K63" i="21" s="1"/>
  <c r="H63" i="21"/>
  <c r="I63" i="21" s="1"/>
  <c r="E63" i="21"/>
  <c r="F63" i="21" s="1"/>
  <c r="J62" i="21"/>
  <c r="K62" i="21" s="1"/>
  <c r="H62" i="21"/>
  <c r="I62" i="21" s="1"/>
  <c r="E62" i="21"/>
  <c r="F62" i="21" s="1"/>
  <c r="J61" i="21"/>
  <c r="K61" i="21" s="1"/>
  <c r="H61" i="21"/>
  <c r="I61" i="21" s="1"/>
  <c r="E61" i="21"/>
  <c r="F61" i="21" s="1"/>
  <c r="J60" i="21"/>
  <c r="K60" i="21" s="1"/>
  <c r="H60" i="21"/>
  <c r="I60" i="21" s="1"/>
  <c r="E60" i="21"/>
  <c r="F60" i="21" s="1"/>
  <c r="J59" i="21"/>
  <c r="K59" i="21" s="1"/>
  <c r="H59" i="21"/>
  <c r="I59" i="21" s="1"/>
  <c r="E59" i="21"/>
  <c r="F59" i="21" s="1"/>
  <c r="K58" i="21"/>
  <c r="J58" i="21"/>
  <c r="H58" i="21"/>
  <c r="I58" i="21" s="1"/>
  <c r="E58" i="21"/>
  <c r="F58" i="21" s="1"/>
  <c r="J57" i="21"/>
  <c r="K57" i="21" s="1"/>
  <c r="H57" i="21"/>
  <c r="I57" i="21" s="1"/>
  <c r="E57" i="21"/>
  <c r="F57" i="21" s="1"/>
  <c r="J56" i="21"/>
  <c r="K56" i="21" s="1"/>
  <c r="H56" i="21"/>
  <c r="I56" i="21" s="1"/>
  <c r="E56" i="21"/>
  <c r="F56" i="21" s="1"/>
  <c r="J55" i="21"/>
  <c r="K55" i="21" s="1"/>
  <c r="H55" i="21"/>
  <c r="I55" i="21" s="1"/>
  <c r="E55" i="21"/>
  <c r="F55" i="21" s="1"/>
  <c r="J54" i="21"/>
  <c r="K54" i="21" s="1"/>
  <c r="H54" i="21"/>
  <c r="I54" i="21" s="1"/>
  <c r="E54" i="21"/>
  <c r="F54" i="21" s="1"/>
  <c r="J53" i="21"/>
  <c r="K53" i="21" s="1"/>
  <c r="H53" i="21"/>
  <c r="I53" i="21" s="1"/>
  <c r="E53" i="21"/>
  <c r="F53" i="21" s="1"/>
  <c r="J52" i="21"/>
  <c r="K52" i="21" s="1"/>
  <c r="H52" i="21"/>
  <c r="I52" i="21" s="1"/>
  <c r="E52" i="21"/>
  <c r="F52" i="21" s="1"/>
  <c r="J51" i="21"/>
  <c r="K51" i="21" s="1"/>
  <c r="H51" i="21"/>
  <c r="I51" i="21" s="1"/>
  <c r="E51" i="21"/>
  <c r="F51" i="21" s="1"/>
  <c r="K50" i="21"/>
  <c r="J50" i="21"/>
  <c r="H50" i="21"/>
  <c r="I50" i="21" s="1"/>
  <c r="E50" i="21"/>
  <c r="F50" i="21" s="1"/>
  <c r="J49" i="21"/>
  <c r="K49" i="21" s="1"/>
  <c r="H49" i="21"/>
  <c r="I49" i="21" s="1"/>
  <c r="E49" i="21"/>
  <c r="F49" i="21" s="1"/>
  <c r="K48" i="21"/>
  <c r="J48" i="21"/>
  <c r="H48" i="21"/>
  <c r="I48" i="21" s="1"/>
  <c r="E48" i="21"/>
  <c r="F48" i="21" s="1"/>
  <c r="J47" i="21"/>
  <c r="K47" i="21" s="1"/>
  <c r="H47" i="21"/>
  <c r="I47" i="21" s="1"/>
  <c r="E47" i="21"/>
  <c r="F47" i="21" s="1"/>
  <c r="K46" i="21"/>
  <c r="J46" i="21"/>
  <c r="H46" i="21"/>
  <c r="I46" i="21" s="1"/>
  <c r="E46" i="21"/>
  <c r="F46" i="21" s="1"/>
  <c r="J45" i="21"/>
  <c r="K45" i="21" s="1"/>
  <c r="H45" i="21"/>
  <c r="I45" i="21" s="1"/>
  <c r="E45" i="21"/>
  <c r="F45" i="21" s="1"/>
  <c r="J44" i="21"/>
  <c r="K44" i="21" s="1"/>
  <c r="H44" i="21"/>
  <c r="I44" i="21" s="1"/>
  <c r="E44" i="21"/>
  <c r="F44" i="21" s="1"/>
  <c r="J43" i="21"/>
  <c r="K43" i="21" s="1"/>
  <c r="H43" i="21"/>
  <c r="I43" i="21" s="1"/>
  <c r="E43" i="21"/>
  <c r="F43" i="21" s="1"/>
  <c r="J42" i="21"/>
  <c r="K42" i="21" s="1"/>
  <c r="H42" i="21"/>
  <c r="I42" i="21" s="1"/>
  <c r="E42" i="21"/>
  <c r="F42" i="21" s="1"/>
  <c r="J41" i="21"/>
  <c r="K41" i="21" s="1"/>
  <c r="H41" i="21"/>
  <c r="I41" i="21" s="1"/>
  <c r="E41" i="21"/>
  <c r="F41" i="21" s="1"/>
  <c r="K40" i="21"/>
  <c r="J40" i="21"/>
  <c r="H40" i="21"/>
  <c r="I40" i="21" s="1"/>
  <c r="E40" i="21"/>
  <c r="F40" i="21" s="1"/>
  <c r="J39" i="21"/>
  <c r="K39" i="21" s="1"/>
  <c r="H39" i="21"/>
  <c r="I39" i="21" s="1"/>
  <c r="E39" i="21"/>
  <c r="F39" i="21" s="1"/>
  <c r="J38" i="21"/>
  <c r="K38" i="21" s="1"/>
  <c r="H38" i="21"/>
  <c r="I38" i="21" s="1"/>
  <c r="E38" i="21"/>
  <c r="F38" i="21" s="1"/>
  <c r="J37" i="21"/>
  <c r="K37" i="21" s="1"/>
  <c r="H37" i="21"/>
  <c r="I37" i="21" s="1"/>
  <c r="E37" i="21"/>
  <c r="F37" i="21" s="1"/>
  <c r="J36" i="21"/>
  <c r="K36" i="21" s="1"/>
  <c r="H36" i="21"/>
  <c r="I36" i="21" s="1"/>
  <c r="E36" i="21"/>
  <c r="F36" i="21" s="1"/>
  <c r="J35" i="21"/>
  <c r="K35" i="21" s="1"/>
  <c r="H35" i="21"/>
  <c r="I35" i="21" s="1"/>
  <c r="E35" i="21"/>
  <c r="F35" i="21" s="1"/>
  <c r="K34" i="21"/>
  <c r="J34" i="21"/>
  <c r="H34" i="21"/>
  <c r="I34" i="21" s="1"/>
  <c r="E34" i="21"/>
  <c r="F34" i="21" s="1"/>
  <c r="J33" i="21"/>
  <c r="K33" i="21" s="1"/>
  <c r="H33" i="21"/>
  <c r="I33" i="21" s="1"/>
  <c r="E33" i="21"/>
  <c r="F33" i="21" s="1"/>
  <c r="J32" i="21"/>
  <c r="K32" i="21" s="1"/>
  <c r="H32" i="21"/>
  <c r="I32" i="21" s="1"/>
  <c r="E32" i="21"/>
  <c r="F32" i="21" s="1"/>
  <c r="J31" i="21"/>
  <c r="K31" i="21" s="1"/>
  <c r="H31" i="21"/>
  <c r="I31" i="21" s="1"/>
  <c r="E31" i="21"/>
  <c r="F31" i="21" s="1"/>
  <c r="K30" i="21"/>
  <c r="H30" i="21"/>
  <c r="I30" i="21" s="1"/>
  <c r="E30" i="21"/>
  <c r="F30" i="21" s="1"/>
  <c r="K29" i="21"/>
  <c r="H29" i="21"/>
  <c r="I29" i="21" s="1"/>
  <c r="E29" i="21"/>
  <c r="F29" i="21" s="1"/>
  <c r="K28" i="21"/>
  <c r="H28" i="21"/>
  <c r="I28" i="21" s="1"/>
  <c r="E28" i="21"/>
  <c r="F28" i="21" s="1"/>
  <c r="K27" i="21"/>
  <c r="H27" i="21"/>
  <c r="I27" i="21" s="1"/>
  <c r="E27" i="21"/>
  <c r="F27" i="21" s="1"/>
  <c r="H26" i="21"/>
  <c r="I26" i="21" s="1"/>
  <c r="E26" i="21"/>
  <c r="F26" i="21" s="1"/>
  <c r="K25" i="21"/>
  <c r="H25" i="21"/>
  <c r="I25" i="21" s="1"/>
  <c r="E25" i="21"/>
  <c r="F25" i="21" s="1"/>
  <c r="K24" i="21"/>
  <c r="H24" i="21"/>
  <c r="I24" i="21" s="1"/>
  <c r="E24" i="21"/>
  <c r="F24" i="21" s="1"/>
  <c r="K23" i="21"/>
  <c r="H23" i="21"/>
  <c r="I23" i="21" s="1"/>
  <c r="E23" i="21"/>
  <c r="F23" i="21" s="1"/>
  <c r="K22" i="21"/>
  <c r="H22" i="21"/>
  <c r="I22" i="21" s="1"/>
  <c r="E22" i="21"/>
  <c r="F22" i="21" s="1"/>
  <c r="K21" i="21"/>
  <c r="H21" i="21"/>
  <c r="I21" i="21" s="1"/>
  <c r="E21" i="21"/>
  <c r="F21" i="21" s="1"/>
  <c r="K20" i="21"/>
  <c r="H20" i="21"/>
  <c r="I20" i="21" s="1"/>
  <c r="E20" i="21"/>
  <c r="F20" i="21" s="1"/>
  <c r="K19" i="21"/>
  <c r="H19" i="21"/>
  <c r="I19" i="21" s="1"/>
  <c r="E19" i="21"/>
  <c r="F19" i="21" s="1"/>
  <c r="K18" i="21"/>
  <c r="H18" i="21"/>
  <c r="I18" i="21" s="1"/>
  <c r="E18" i="21"/>
  <c r="F18" i="21" s="1"/>
  <c r="K17" i="21"/>
  <c r="H17" i="21"/>
  <c r="I17" i="21" s="1"/>
  <c r="E17" i="21"/>
  <c r="F17" i="21" s="1"/>
  <c r="K16" i="21"/>
  <c r="H16" i="21"/>
  <c r="I16" i="21" s="1"/>
  <c r="E16" i="21"/>
  <c r="F16" i="21" s="1"/>
  <c r="K15" i="21"/>
  <c r="H15" i="21"/>
  <c r="I15" i="21" s="1"/>
  <c r="E15" i="21"/>
  <c r="F15" i="21" s="1"/>
  <c r="H14" i="21"/>
  <c r="I14" i="21" s="1"/>
  <c r="E14" i="21"/>
  <c r="F14" i="21" s="1"/>
  <c r="K13" i="21"/>
  <c r="H13" i="21"/>
  <c r="I13" i="21" s="1"/>
  <c r="E13" i="21"/>
  <c r="F13" i="21" s="1"/>
  <c r="K12" i="21"/>
  <c r="H12" i="21"/>
  <c r="I12" i="21" s="1"/>
  <c r="E12" i="21"/>
  <c r="F12" i="21" s="1"/>
  <c r="K11" i="21"/>
  <c r="H11" i="21"/>
  <c r="I11" i="21" s="1"/>
  <c r="E11" i="21"/>
  <c r="F11" i="21" s="1"/>
  <c r="K10" i="21"/>
  <c r="H10" i="21"/>
  <c r="I10" i="21" s="1"/>
  <c r="E10" i="21"/>
  <c r="F10" i="21" s="1"/>
  <c r="K9" i="21"/>
  <c r="H9" i="21"/>
  <c r="I9" i="21" s="1"/>
  <c r="E9" i="21"/>
  <c r="F9" i="21" s="1"/>
  <c r="K8" i="21"/>
  <c r="H8" i="21"/>
  <c r="I8" i="21" s="1"/>
  <c r="E8" i="21"/>
  <c r="F8" i="21" s="1"/>
  <c r="K7" i="21"/>
  <c r="H7" i="21"/>
  <c r="I7" i="21" s="1"/>
  <c r="E7" i="21"/>
  <c r="F7" i="21" s="1"/>
  <c r="K6" i="21"/>
  <c r="H6" i="21"/>
  <c r="I6" i="21" s="1"/>
  <c r="E6" i="21"/>
  <c r="F6" i="21" s="1"/>
  <c r="H3" i="21"/>
  <c r="E3" i="21"/>
  <c r="C3" i="21"/>
  <c r="B3" i="21"/>
  <c r="A3" i="21"/>
  <c r="H4" i="21"/>
  <c r="E4" i="21"/>
  <c r="C4" i="21"/>
  <c r="B4" i="21"/>
  <c r="A4" i="21"/>
  <c r="H5" i="21"/>
  <c r="E5" i="21"/>
  <c r="B5" i="21"/>
  <c r="A5" i="21"/>
  <c r="H2" i="21"/>
  <c r="E2" i="21"/>
  <c r="C2" i="21"/>
  <c r="B2" i="21"/>
  <c r="A2" i="21"/>
  <c r="J100" i="20"/>
  <c r="K100" i="20" s="1"/>
  <c r="H100" i="20"/>
  <c r="I100" i="20" s="1"/>
  <c r="E100" i="20"/>
  <c r="F100" i="20" s="1"/>
  <c r="J99" i="20"/>
  <c r="K99" i="20" s="1"/>
  <c r="H99" i="20"/>
  <c r="I99" i="20" s="1"/>
  <c r="E99" i="20"/>
  <c r="F99" i="20" s="1"/>
  <c r="J98" i="20"/>
  <c r="K98" i="20" s="1"/>
  <c r="H98" i="20"/>
  <c r="I98" i="20" s="1"/>
  <c r="E98" i="20"/>
  <c r="F98" i="20" s="1"/>
  <c r="J97" i="20"/>
  <c r="K97" i="20" s="1"/>
  <c r="H97" i="20"/>
  <c r="I97" i="20" s="1"/>
  <c r="E97" i="20"/>
  <c r="F97" i="20" s="1"/>
  <c r="J96" i="20"/>
  <c r="K96" i="20" s="1"/>
  <c r="H96" i="20"/>
  <c r="I96" i="20" s="1"/>
  <c r="E96" i="20"/>
  <c r="F96" i="20" s="1"/>
  <c r="J95" i="20"/>
  <c r="K95" i="20" s="1"/>
  <c r="H95" i="20"/>
  <c r="I95" i="20" s="1"/>
  <c r="E95" i="20"/>
  <c r="F95" i="20" s="1"/>
  <c r="J94" i="20"/>
  <c r="K94" i="20" s="1"/>
  <c r="H94" i="20"/>
  <c r="I94" i="20" s="1"/>
  <c r="E94" i="20"/>
  <c r="F94" i="20" s="1"/>
  <c r="J93" i="20"/>
  <c r="K93" i="20" s="1"/>
  <c r="H93" i="20"/>
  <c r="I93" i="20" s="1"/>
  <c r="E93" i="20"/>
  <c r="F93" i="20" s="1"/>
  <c r="J92" i="20"/>
  <c r="K92" i="20" s="1"/>
  <c r="H92" i="20"/>
  <c r="I92" i="20" s="1"/>
  <c r="E92" i="20"/>
  <c r="F92" i="20" s="1"/>
  <c r="J91" i="20"/>
  <c r="K91" i="20" s="1"/>
  <c r="H91" i="20"/>
  <c r="I91" i="20" s="1"/>
  <c r="E91" i="20"/>
  <c r="F91" i="20" s="1"/>
  <c r="J90" i="20"/>
  <c r="K90" i="20" s="1"/>
  <c r="H90" i="20"/>
  <c r="I90" i="20" s="1"/>
  <c r="E90" i="20"/>
  <c r="F90" i="20" s="1"/>
  <c r="J89" i="20"/>
  <c r="K89" i="20" s="1"/>
  <c r="H89" i="20"/>
  <c r="I89" i="20" s="1"/>
  <c r="E89" i="20"/>
  <c r="F89" i="20" s="1"/>
  <c r="J88" i="20"/>
  <c r="K88" i="20" s="1"/>
  <c r="H88" i="20"/>
  <c r="I88" i="20" s="1"/>
  <c r="E88" i="20"/>
  <c r="F88" i="20" s="1"/>
  <c r="J87" i="20"/>
  <c r="K87" i="20" s="1"/>
  <c r="H87" i="20"/>
  <c r="I87" i="20" s="1"/>
  <c r="E87" i="20"/>
  <c r="F87" i="20" s="1"/>
  <c r="J86" i="20"/>
  <c r="K86" i="20" s="1"/>
  <c r="H86" i="20"/>
  <c r="I86" i="20" s="1"/>
  <c r="E86" i="20"/>
  <c r="F86" i="20" s="1"/>
  <c r="J85" i="20"/>
  <c r="K85" i="20" s="1"/>
  <c r="H85" i="20"/>
  <c r="I85" i="20" s="1"/>
  <c r="E85" i="20"/>
  <c r="F85" i="20" s="1"/>
  <c r="J84" i="20"/>
  <c r="K84" i="20" s="1"/>
  <c r="H84" i="20"/>
  <c r="I84" i="20" s="1"/>
  <c r="E84" i="20"/>
  <c r="F84" i="20" s="1"/>
  <c r="J83" i="20"/>
  <c r="K83" i="20" s="1"/>
  <c r="H83" i="20"/>
  <c r="I83" i="20" s="1"/>
  <c r="E83" i="20"/>
  <c r="F83" i="20" s="1"/>
  <c r="J82" i="20"/>
  <c r="K82" i="20" s="1"/>
  <c r="H82" i="20"/>
  <c r="I82" i="20" s="1"/>
  <c r="E82" i="20"/>
  <c r="F82" i="20" s="1"/>
  <c r="J81" i="20"/>
  <c r="K81" i="20" s="1"/>
  <c r="H81" i="20"/>
  <c r="I81" i="20" s="1"/>
  <c r="E81" i="20"/>
  <c r="F81" i="20" s="1"/>
  <c r="J80" i="20"/>
  <c r="K80" i="20" s="1"/>
  <c r="H80" i="20"/>
  <c r="I80" i="20" s="1"/>
  <c r="E80" i="20"/>
  <c r="F80" i="20" s="1"/>
  <c r="J79" i="20"/>
  <c r="K79" i="20" s="1"/>
  <c r="H79" i="20"/>
  <c r="I79" i="20" s="1"/>
  <c r="E79" i="20"/>
  <c r="F79" i="20" s="1"/>
  <c r="J78" i="20"/>
  <c r="K78" i="20" s="1"/>
  <c r="H78" i="20"/>
  <c r="I78" i="20" s="1"/>
  <c r="E78" i="20"/>
  <c r="F78" i="20" s="1"/>
  <c r="J77" i="20"/>
  <c r="K77" i="20" s="1"/>
  <c r="H77" i="20"/>
  <c r="I77" i="20" s="1"/>
  <c r="E77" i="20"/>
  <c r="F77" i="20" s="1"/>
  <c r="J76" i="20"/>
  <c r="K76" i="20" s="1"/>
  <c r="H76" i="20"/>
  <c r="I76" i="20" s="1"/>
  <c r="E76" i="20"/>
  <c r="F76" i="20" s="1"/>
  <c r="J75" i="20"/>
  <c r="K75" i="20" s="1"/>
  <c r="H75" i="20"/>
  <c r="I75" i="20" s="1"/>
  <c r="E75" i="20"/>
  <c r="F75" i="20" s="1"/>
  <c r="J74" i="20"/>
  <c r="K74" i="20" s="1"/>
  <c r="H74" i="20"/>
  <c r="I74" i="20" s="1"/>
  <c r="E74" i="20"/>
  <c r="F74" i="20" s="1"/>
  <c r="J73" i="20"/>
  <c r="K73" i="20" s="1"/>
  <c r="H73" i="20"/>
  <c r="I73" i="20" s="1"/>
  <c r="E73" i="20"/>
  <c r="F73" i="20" s="1"/>
  <c r="J72" i="20"/>
  <c r="K72" i="20" s="1"/>
  <c r="H72" i="20"/>
  <c r="I72" i="20" s="1"/>
  <c r="E72" i="20"/>
  <c r="F72" i="20" s="1"/>
  <c r="J71" i="20"/>
  <c r="K71" i="20" s="1"/>
  <c r="H71" i="20"/>
  <c r="I71" i="20" s="1"/>
  <c r="E71" i="20"/>
  <c r="F71" i="20" s="1"/>
  <c r="J70" i="20"/>
  <c r="K70" i="20" s="1"/>
  <c r="H70" i="20"/>
  <c r="I70" i="20" s="1"/>
  <c r="E70" i="20"/>
  <c r="F70" i="20" s="1"/>
  <c r="J69" i="20"/>
  <c r="K69" i="20" s="1"/>
  <c r="H69" i="20"/>
  <c r="I69" i="20" s="1"/>
  <c r="E69" i="20"/>
  <c r="F69" i="20" s="1"/>
  <c r="J68" i="20"/>
  <c r="K68" i="20" s="1"/>
  <c r="H68" i="20"/>
  <c r="I68" i="20" s="1"/>
  <c r="E68" i="20"/>
  <c r="F68" i="20" s="1"/>
  <c r="J67" i="20"/>
  <c r="K67" i="20" s="1"/>
  <c r="H67" i="20"/>
  <c r="I67" i="20" s="1"/>
  <c r="E67" i="20"/>
  <c r="F67" i="20" s="1"/>
  <c r="J66" i="20"/>
  <c r="K66" i="20" s="1"/>
  <c r="H66" i="20"/>
  <c r="I66" i="20" s="1"/>
  <c r="E66" i="20"/>
  <c r="F66" i="20" s="1"/>
  <c r="J65" i="20"/>
  <c r="K65" i="20" s="1"/>
  <c r="H65" i="20"/>
  <c r="I65" i="20" s="1"/>
  <c r="E65" i="20"/>
  <c r="F65" i="20" s="1"/>
  <c r="J64" i="20"/>
  <c r="K64" i="20" s="1"/>
  <c r="H64" i="20"/>
  <c r="I64" i="20" s="1"/>
  <c r="E64" i="20"/>
  <c r="F64" i="20" s="1"/>
  <c r="J63" i="20"/>
  <c r="K63" i="20" s="1"/>
  <c r="H63" i="20"/>
  <c r="I63" i="20" s="1"/>
  <c r="E63" i="20"/>
  <c r="F63" i="20" s="1"/>
  <c r="J62" i="20"/>
  <c r="K62" i="20" s="1"/>
  <c r="H62" i="20"/>
  <c r="I62" i="20" s="1"/>
  <c r="E62" i="20"/>
  <c r="F62" i="20" s="1"/>
  <c r="J61" i="20"/>
  <c r="K61" i="20" s="1"/>
  <c r="H61" i="20"/>
  <c r="I61" i="20" s="1"/>
  <c r="E61" i="20"/>
  <c r="F61" i="20" s="1"/>
  <c r="J60" i="20"/>
  <c r="K60" i="20" s="1"/>
  <c r="H60" i="20"/>
  <c r="I60" i="20" s="1"/>
  <c r="E60" i="20"/>
  <c r="F60" i="20" s="1"/>
  <c r="J59" i="20"/>
  <c r="K59" i="20" s="1"/>
  <c r="H59" i="20"/>
  <c r="I59" i="20" s="1"/>
  <c r="E59" i="20"/>
  <c r="F59" i="20" s="1"/>
  <c r="J58" i="20"/>
  <c r="K58" i="20" s="1"/>
  <c r="H58" i="20"/>
  <c r="I58" i="20" s="1"/>
  <c r="E58" i="20"/>
  <c r="F58" i="20" s="1"/>
  <c r="J57" i="20"/>
  <c r="K57" i="20" s="1"/>
  <c r="H57" i="20"/>
  <c r="I57" i="20" s="1"/>
  <c r="E57" i="20"/>
  <c r="F57" i="20" s="1"/>
  <c r="J56" i="20"/>
  <c r="K56" i="20" s="1"/>
  <c r="H56" i="20"/>
  <c r="I56" i="20" s="1"/>
  <c r="E56" i="20"/>
  <c r="F56" i="20" s="1"/>
  <c r="J55" i="20"/>
  <c r="K55" i="20" s="1"/>
  <c r="H55" i="20"/>
  <c r="I55" i="20" s="1"/>
  <c r="E55" i="20"/>
  <c r="F55" i="20" s="1"/>
  <c r="J54" i="20"/>
  <c r="K54" i="20" s="1"/>
  <c r="H54" i="20"/>
  <c r="I54" i="20" s="1"/>
  <c r="E54" i="20"/>
  <c r="F54" i="20" s="1"/>
  <c r="J53" i="20"/>
  <c r="K53" i="20" s="1"/>
  <c r="H53" i="20"/>
  <c r="I53" i="20" s="1"/>
  <c r="E53" i="20"/>
  <c r="F53" i="20" s="1"/>
  <c r="J52" i="20"/>
  <c r="K52" i="20" s="1"/>
  <c r="H52" i="20"/>
  <c r="I52" i="20" s="1"/>
  <c r="E52" i="20"/>
  <c r="F52" i="20" s="1"/>
  <c r="J51" i="20"/>
  <c r="K51" i="20" s="1"/>
  <c r="H51" i="20"/>
  <c r="I51" i="20" s="1"/>
  <c r="E51" i="20"/>
  <c r="F51" i="20" s="1"/>
  <c r="J50" i="20"/>
  <c r="K50" i="20" s="1"/>
  <c r="H50" i="20"/>
  <c r="I50" i="20" s="1"/>
  <c r="E50" i="20"/>
  <c r="F50" i="20" s="1"/>
  <c r="J49" i="20"/>
  <c r="K49" i="20" s="1"/>
  <c r="H49" i="20"/>
  <c r="I49" i="20" s="1"/>
  <c r="E49" i="20"/>
  <c r="F49" i="20" s="1"/>
  <c r="J48" i="20"/>
  <c r="K48" i="20" s="1"/>
  <c r="H48" i="20"/>
  <c r="I48" i="20" s="1"/>
  <c r="E48" i="20"/>
  <c r="F48" i="20" s="1"/>
  <c r="J47" i="20"/>
  <c r="K47" i="20" s="1"/>
  <c r="H47" i="20"/>
  <c r="I47" i="20" s="1"/>
  <c r="E47" i="20"/>
  <c r="F47" i="20" s="1"/>
  <c r="J46" i="20"/>
  <c r="K46" i="20" s="1"/>
  <c r="H46" i="20"/>
  <c r="I46" i="20" s="1"/>
  <c r="E46" i="20"/>
  <c r="F46" i="20" s="1"/>
  <c r="J45" i="20"/>
  <c r="K45" i="20" s="1"/>
  <c r="H45" i="20"/>
  <c r="I45" i="20" s="1"/>
  <c r="E45" i="20"/>
  <c r="F45" i="20" s="1"/>
  <c r="J44" i="20"/>
  <c r="K44" i="20" s="1"/>
  <c r="H44" i="20"/>
  <c r="I44" i="20" s="1"/>
  <c r="E44" i="20"/>
  <c r="F44" i="20" s="1"/>
  <c r="J43" i="20"/>
  <c r="K43" i="20" s="1"/>
  <c r="H43" i="20"/>
  <c r="I43" i="20" s="1"/>
  <c r="E43" i="20"/>
  <c r="F43" i="20" s="1"/>
  <c r="J42" i="20"/>
  <c r="K42" i="20" s="1"/>
  <c r="H42" i="20"/>
  <c r="I42" i="20" s="1"/>
  <c r="E42" i="20"/>
  <c r="F42" i="20" s="1"/>
  <c r="J41" i="20"/>
  <c r="K41" i="20" s="1"/>
  <c r="H41" i="20"/>
  <c r="I41" i="20" s="1"/>
  <c r="E41" i="20"/>
  <c r="F41" i="20" s="1"/>
  <c r="J40" i="20"/>
  <c r="K40" i="20" s="1"/>
  <c r="H40" i="20"/>
  <c r="I40" i="20" s="1"/>
  <c r="E40" i="20"/>
  <c r="F40" i="20" s="1"/>
  <c r="J39" i="20"/>
  <c r="K39" i="20" s="1"/>
  <c r="H39" i="20"/>
  <c r="I39" i="20" s="1"/>
  <c r="E39" i="20"/>
  <c r="F39" i="20" s="1"/>
  <c r="J38" i="20"/>
  <c r="K38" i="20" s="1"/>
  <c r="H38" i="20"/>
  <c r="I38" i="20" s="1"/>
  <c r="E38" i="20"/>
  <c r="F38" i="20" s="1"/>
  <c r="J37" i="20"/>
  <c r="K37" i="20" s="1"/>
  <c r="H37" i="20"/>
  <c r="I37" i="20" s="1"/>
  <c r="E37" i="20"/>
  <c r="F37" i="20" s="1"/>
  <c r="J36" i="20"/>
  <c r="K36" i="20" s="1"/>
  <c r="H36" i="20"/>
  <c r="I36" i="20" s="1"/>
  <c r="E36" i="20"/>
  <c r="F36" i="20" s="1"/>
  <c r="J35" i="20"/>
  <c r="K35" i="20" s="1"/>
  <c r="H35" i="20"/>
  <c r="I35" i="20" s="1"/>
  <c r="E35" i="20"/>
  <c r="F35" i="20" s="1"/>
  <c r="J34" i="20"/>
  <c r="K34" i="20" s="1"/>
  <c r="H34" i="20"/>
  <c r="I34" i="20" s="1"/>
  <c r="E34" i="20"/>
  <c r="F34" i="20" s="1"/>
  <c r="J33" i="20"/>
  <c r="K33" i="20" s="1"/>
  <c r="H33" i="20"/>
  <c r="I33" i="20" s="1"/>
  <c r="E33" i="20"/>
  <c r="F33" i="20" s="1"/>
  <c r="J32" i="20"/>
  <c r="K32" i="20" s="1"/>
  <c r="H32" i="20"/>
  <c r="I32" i="20" s="1"/>
  <c r="E32" i="20"/>
  <c r="F32" i="20" s="1"/>
  <c r="J31" i="20"/>
  <c r="K31" i="20" s="1"/>
  <c r="H31" i="20"/>
  <c r="I31" i="20" s="1"/>
  <c r="E31" i="20"/>
  <c r="F31" i="20" s="1"/>
  <c r="J30" i="20"/>
  <c r="K30" i="20" s="1"/>
  <c r="H30" i="20"/>
  <c r="I30" i="20" s="1"/>
  <c r="E30" i="20"/>
  <c r="F30" i="20" s="1"/>
  <c r="J29" i="20"/>
  <c r="K29" i="20" s="1"/>
  <c r="H29" i="20"/>
  <c r="I29" i="20" s="1"/>
  <c r="E29" i="20"/>
  <c r="F29" i="20" s="1"/>
  <c r="J28" i="20"/>
  <c r="K28" i="20" s="1"/>
  <c r="H28" i="20"/>
  <c r="I28" i="20" s="1"/>
  <c r="E28" i="20"/>
  <c r="F28" i="20" s="1"/>
  <c r="J27" i="20"/>
  <c r="K27" i="20" s="1"/>
  <c r="H27" i="20"/>
  <c r="I27" i="20" s="1"/>
  <c r="E27" i="20"/>
  <c r="F27" i="20" s="1"/>
  <c r="J26" i="20"/>
  <c r="K26" i="20" s="1"/>
  <c r="H26" i="20"/>
  <c r="I26" i="20" s="1"/>
  <c r="E26" i="20"/>
  <c r="F26" i="20" s="1"/>
  <c r="J25" i="20"/>
  <c r="K25" i="20" s="1"/>
  <c r="H25" i="20"/>
  <c r="I25" i="20" s="1"/>
  <c r="E25" i="20"/>
  <c r="F25" i="20" s="1"/>
  <c r="J24" i="20"/>
  <c r="K24" i="20" s="1"/>
  <c r="H24" i="20"/>
  <c r="I24" i="20" s="1"/>
  <c r="E24" i="20"/>
  <c r="F24" i="20" s="1"/>
  <c r="K23" i="20"/>
  <c r="H23" i="20"/>
  <c r="I23" i="20" s="1"/>
  <c r="E23" i="20"/>
  <c r="F23" i="20" s="1"/>
  <c r="K22" i="20"/>
  <c r="H22" i="20"/>
  <c r="I22" i="20" s="1"/>
  <c r="E22" i="20"/>
  <c r="F22" i="20" s="1"/>
  <c r="K21" i="20"/>
  <c r="H21" i="20"/>
  <c r="I21" i="20" s="1"/>
  <c r="E21" i="20"/>
  <c r="F21" i="20" s="1"/>
  <c r="K20" i="20"/>
  <c r="H20" i="20"/>
  <c r="I20" i="20" s="1"/>
  <c r="E20" i="20"/>
  <c r="F20" i="20" s="1"/>
  <c r="K19" i="20"/>
  <c r="H19" i="20"/>
  <c r="I19" i="20" s="1"/>
  <c r="E19" i="20"/>
  <c r="F19" i="20" s="1"/>
  <c r="K18" i="20"/>
  <c r="H18" i="20"/>
  <c r="I18" i="20" s="1"/>
  <c r="E18" i="20"/>
  <c r="F18" i="20" s="1"/>
  <c r="K17" i="20"/>
  <c r="H17" i="20"/>
  <c r="I17" i="20" s="1"/>
  <c r="E17" i="20"/>
  <c r="F17" i="20" s="1"/>
  <c r="K16" i="20"/>
  <c r="H16" i="20"/>
  <c r="I16" i="20" s="1"/>
  <c r="E16" i="20"/>
  <c r="F16" i="20" s="1"/>
  <c r="K15" i="20"/>
  <c r="H15" i="20"/>
  <c r="I15" i="20" s="1"/>
  <c r="E15" i="20"/>
  <c r="F15" i="20" s="1"/>
  <c r="H14" i="20"/>
  <c r="I14" i="20" s="1"/>
  <c r="E14" i="20"/>
  <c r="F14" i="20" s="1"/>
  <c r="K13" i="20"/>
  <c r="H13" i="20"/>
  <c r="I13" i="20" s="1"/>
  <c r="E13" i="20"/>
  <c r="F13" i="20" s="1"/>
  <c r="K12" i="20"/>
  <c r="H12" i="20"/>
  <c r="I12" i="20" s="1"/>
  <c r="E12" i="20"/>
  <c r="F12" i="20" s="1"/>
  <c r="K11" i="20"/>
  <c r="H11" i="20"/>
  <c r="I11" i="20" s="1"/>
  <c r="E11" i="20"/>
  <c r="F11" i="20" s="1"/>
  <c r="K10" i="20"/>
  <c r="H10" i="20"/>
  <c r="I10" i="20" s="1"/>
  <c r="E10" i="20"/>
  <c r="F10" i="20" s="1"/>
  <c r="K9" i="20"/>
  <c r="H9" i="20"/>
  <c r="I9" i="20" s="1"/>
  <c r="E9" i="20"/>
  <c r="F9" i="20" s="1"/>
  <c r="K8" i="20"/>
  <c r="H8" i="20"/>
  <c r="I8" i="20" s="1"/>
  <c r="E8" i="20"/>
  <c r="F8" i="20" s="1"/>
  <c r="K7" i="20"/>
  <c r="H7" i="20"/>
  <c r="I7" i="20" s="1"/>
  <c r="E7" i="20"/>
  <c r="F7" i="20" s="1"/>
  <c r="K6" i="20"/>
  <c r="H6" i="20"/>
  <c r="I6" i="20" s="1"/>
  <c r="E6" i="20"/>
  <c r="F6" i="20" s="1"/>
  <c r="K5" i="20"/>
  <c r="H5" i="20"/>
  <c r="I5" i="20" s="1"/>
  <c r="E5" i="20"/>
  <c r="F5" i="20" s="1"/>
  <c r="K4" i="20"/>
  <c r="H4" i="20"/>
  <c r="E4" i="20"/>
  <c r="F4" i="20" s="1"/>
  <c r="K3" i="20"/>
  <c r="H3" i="20"/>
  <c r="I3" i="20" s="1"/>
  <c r="E3" i="20"/>
  <c r="H2" i="20"/>
  <c r="E2" i="20"/>
  <c r="C2" i="20"/>
  <c r="B2" i="20"/>
  <c r="A2" i="20"/>
  <c r="J100" i="19"/>
  <c r="K100" i="19" s="1"/>
  <c r="H100" i="19"/>
  <c r="I100" i="19" s="1"/>
  <c r="E100" i="19"/>
  <c r="F100" i="19" s="1"/>
  <c r="K99" i="19"/>
  <c r="J99" i="19"/>
  <c r="H99" i="19"/>
  <c r="I99" i="19" s="1"/>
  <c r="E99" i="19"/>
  <c r="F99" i="19" s="1"/>
  <c r="J98" i="19"/>
  <c r="K98" i="19" s="1"/>
  <c r="H98" i="19"/>
  <c r="I98" i="19" s="1"/>
  <c r="E98" i="19"/>
  <c r="F98" i="19" s="1"/>
  <c r="J97" i="19"/>
  <c r="K97" i="19" s="1"/>
  <c r="H97" i="19"/>
  <c r="I97" i="19" s="1"/>
  <c r="E97" i="19"/>
  <c r="F97" i="19" s="1"/>
  <c r="J96" i="19"/>
  <c r="K96" i="19" s="1"/>
  <c r="H96" i="19"/>
  <c r="I96" i="19" s="1"/>
  <c r="E96" i="19"/>
  <c r="F96" i="19" s="1"/>
  <c r="K95" i="19"/>
  <c r="J95" i="19"/>
  <c r="H95" i="19"/>
  <c r="I95" i="19" s="1"/>
  <c r="E95" i="19"/>
  <c r="F95" i="19" s="1"/>
  <c r="J94" i="19"/>
  <c r="K94" i="19" s="1"/>
  <c r="H94" i="19"/>
  <c r="I94" i="19" s="1"/>
  <c r="E94" i="19"/>
  <c r="F94" i="19" s="1"/>
  <c r="J93" i="19"/>
  <c r="K93" i="19" s="1"/>
  <c r="H93" i="19"/>
  <c r="I93" i="19" s="1"/>
  <c r="E93" i="19"/>
  <c r="F93" i="19" s="1"/>
  <c r="J92" i="19"/>
  <c r="K92" i="19" s="1"/>
  <c r="H92" i="19"/>
  <c r="I92" i="19" s="1"/>
  <c r="E92" i="19"/>
  <c r="F92" i="19" s="1"/>
  <c r="J91" i="19"/>
  <c r="K91" i="19" s="1"/>
  <c r="H91" i="19"/>
  <c r="I91" i="19" s="1"/>
  <c r="E91" i="19"/>
  <c r="F91" i="19" s="1"/>
  <c r="J90" i="19"/>
  <c r="K90" i="19" s="1"/>
  <c r="H90" i="19"/>
  <c r="I90" i="19" s="1"/>
  <c r="E90" i="19"/>
  <c r="F90" i="19" s="1"/>
  <c r="K89" i="19"/>
  <c r="J89" i="19"/>
  <c r="H89" i="19"/>
  <c r="I89" i="19" s="1"/>
  <c r="E89" i="19"/>
  <c r="F89" i="19" s="1"/>
  <c r="J88" i="19"/>
  <c r="K88" i="19" s="1"/>
  <c r="H88" i="19"/>
  <c r="I88" i="19" s="1"/>
  <c r="E88" i="19"/>
  <c r="F88" i="19" s="1"/>
  <c r="J87" i="19"/>
  <c r="K87" i="19" s="1"/>
  <c r="H87" i="19"/>
  <c r="I87" i="19" s="1"/>
  <c r="E87" i="19"/>
  <c r="F87" i="19" s="1"/>
  <c r="J86" i="19"/>
  <c r="K86" i="19" s="1"/>
  <c r="H86" i="19"/>
  <c r="I86" i="19" s="1"/>
  <c r="E86" i="19"/>
  <c r="F86" i="19" s="1"/>
  <c r="J85" i="19"/>
  <c r="K85" i="19" s="1"/>
  <c r="H85" i="19"/>
  <c r="I85" i="19" s="1"/>
  <c r="E85" i="19"/>
  <c r="F85" i="19" s="1"/>
  <c r="J84" i="19"/>
  <c r="K84" i="19" s="1"/>
  <c r="H84" i="19"/>
  <c r="I84" i="19" s="1"/>
  <c r="E84" i="19"/>
  <c r="F84" i="19" s="1"/>
  <c r="K83" i="19"/>
  <c r="J83" i="19"/>
  <c r="H83" i="19"/>
  <c r="I83" i="19" s="1"/>
  <c r="E83" i="19"/>
  <c r="F83" i="19" s="1"/>
  <c r="J82" i="19"/>
  <c r="K82" i="19" s="1"/>
  <c r="H82" i="19"/>
  <c r="I82" i="19" s="1"/>
  <c r="E82" i="19"/>
  <c r="F82" i="19" s="1"/>
  <c r="J81" i="19"/>
  <c r="K81" i="19" s="1"/>
  <c r="H81" i="19"/>
  <c r="I81" i="19" s="1"/>
  <c r="E81" i="19"/>
  <c r="F81" i="19" s="1"/>
  <c r="J80" i="19"/>
  <c r="K80" i="19" s="1"/>
  <c r="H80" i="19"/>
  <c r="I80" i="19" s="1"/>
  <c r="E80" i="19"/>
  <c r="F80" i="19" s="1"/>
  <c r="J79" i="19"/>
  <c r="K79" i="19" s="1"/>
  <c r="H79" i="19"/>
  <c r="I79" i="19" s="1"/>
  <c r="E79" i="19"/>
  <c r="F79" i="19" s="1"/>
  <c r="J78" i="19"/>
  <c r="K78" i="19" s="1"/>
  <c r="H78" i="19"/>
  <c r="I78" i="19" s="1"/>
  <c r="E78" i="19"/>
  <c r="F78" i="19" s="1"/>
  <c r="K77" i="19"/>
  <c r="J77" i="19"/>
  <c r="H77" i="19"/>
  <c r="I77" i="19" s="1"/>
  <c r="E77" i="19"/>
  <c r="F77" i="19" s="1"/>
  <c r="J76" i="19"/>
  <c r="K76" i="19" s="1"/>
  <c r="H76" i="19"/>
  <c r="I76" i="19" s="1"/>
  <c r="E76" i="19"/>
  <c r="F76" i="19" s="1"/>
  <c r="K75" i="19"/>
  <c r="J75" i="19"/>
  <c r="H75" i="19"/>
  <c r="I75" i="19" s="1"/>
  <c r="E75" i="19"/>
  <c r="F75" i="19" s="1"/>
  <c r="J74" i="19"/>
  <c r="K74" i="19" s="1"/>
  <c r="H74" i="19"/>
  <c r="I74" i="19" s="1"/>
  <c r="E74" i="19"/>
  <c r="F74" i="19" s="1"/>
  <c r="J73" i="19"/>
  <c r="K73" i="19" s="1"/>
  <c r="H73" i="19"/>
  <c r="I73" i="19" s="1"/>
  <c r="E73" i="19"/>
  <c r="F73" i="19" s="1"/>
  <c r="J72" i="19"/>
  <c r="K72" i="19" s="1"/>
  <c r="H72" i="19"/>
  <c r="I72" i="19" s="1"/>
  <c r="E72" i="19"/>
  <c r="F72" i="19" s="1"/>
  <c r="K71" i="19"/>
  <c r="J71" i="19"/>
  <c r="H71" i="19"/>
  <c r="I71" i="19" s="1"/>
  <c r="E71" i="19"/>
  <c r="F71" i="19" s="1"/>
  <c r="J70" i="19"/>
  <c r="K70" i="19" s="1"/>
  <c r="H70" i="19"/>
  <c r="I70" i="19" s="1"/>
  <c r="E70" i="19"/>
  <c r="F70" i="19" s="1"/>
  <c r="J69" i="19"/>
  <c r="K69" i="19" s="1"/>
  <c r="H69" i="19"/>
  <c r="I69" i="19" s="1"/>
  <c r="E69" i="19"/>
  <c r="F69" i="19" s="1"/>
  <c r="J68" i="19"/>
  <c r="K68" i="19" s="1"/>
  <c r="H68" i="19"/>
  <c r="I68" i="19" s="1"/>
  <c r="E68" i="19"/>
  <c r="F68" i="19" s="1"/>
  <c r="J67" i="19"/>
  <c r="K67" i="19" s="1"/>
  <c r="H67" i="19"/>
  <c r="I67" i="19" s="1"/>
  <c r="E67" i="19"/>
  <c r="F67" i="19" s="1"/>
  <c r="J66" i="19"/>
  <c r="K66" i="19" s="1"/>
  <c r="H66" i="19"/>
  <c r="I66" i="19" s="1"/>
  <c r="E66" i="19"/>
  <c r="F66" i="19" s="1"/>
  <c r="K65" i="19"/>
  <c r="J65" i="19"/>
  <c r="H65" i="19"/>
  <c r="I65" i="19" s="1"/>
  <c r="E65" i="19"/>
  <c r="F65" i="19" s="1"/>
  <c r="J64" i="19"/>
  <c r="K64" i="19" s="1"/>
  <c r="H64" i="19"/>
  <c r="I64" i="19" s="1"/>
  <c r="E64" i="19"/>
  <c r="F64" i="19" s="1"/>
  <c r="J63" i="19"/>
  <c r="K63" i="19" s="1"/>
  <c r="H63" i="19"/>
  <c r="I63" i="19" s="1"/>
  <c r="E63" i="19"/>
  <c r="F63" i="19" s="1"/>
  <c r="J62" i="19"/>
  <c r="K62" i="19" s="1"/>
  <c r="H62" i="19"/>
  <c r="I62" i="19" s="1"/>
  <c r="E62" i="19"/>
  <c r="F62" i="19" s="1"/>
  <c r="J61" i="19"/>
  <c r="K61" i="19" s="1"/>
  <c r="H61" i="19"/>
  <c r="I61" i="19" s="1"/>
  <c r="E61" i="19"/>
  <c r="F61" i="19" s="1"/>
  <c r="J60" i="19"/>
  <c r="K60" i="19" s="1"/>
  <c r="H60" i="19"/>
  <c r="I60" i="19" s="1"/>
  <c r="E60" i="19"/>
  <c r="F60" i="19" s="1"/>
  <c r="K59" i="19"/>
  <c r="J59" i="19"/>
  <c r="H59" i="19"/>
  <c r="I59" i="19" s="1"/>
  <c r="E59" i="19"/>
  <c r="F59" i="19" s="1"/>
  <c r="J58" i="19"/>
  <c r="K58" i="19" s="1"/>
  <c r="H58" i="19"/>
  <c r="I58" i="19" s="1"/>
  <c r="E58" i="19"/>
  <c r="F58" i="19" s="1"/>
  <c r="J57" i="19"/>
  <c r="K57" i="19" s="1"/>
  <c r="H57" i="19"/>
  <c r="I57" i="19" s="1"/>
  <c r="E57" i="19"/>
  <c r="F57" i="19" s="1"/>
  <c r="J56" i="19"/>
  <c r="K56" i="19" s="1"/>
  <c r="H56" i="19"/>
  <c r="I56" i="19" s="1"/>
  <c r="E56" i="19"/>
  <c r="F56" i="19" s="1"/>
  <c r="J55" i="19"/>
  <c r="K55" i="19" s="1"/>
  <c r="H55" i="19"/>
  <c r="I55" i="19" s="1"/>
  <c r="E55" i="19"/>
  <c r="F55" i="19" s="1"/>
  <c r="J54" i="19"/>
  <c r="K54" i="19" s="1"/>
  <c r="H54" i="19"/>
  <c r="I54" i="19" s="1"/>
  <c r="E54" i="19"/>
  <c r="F54" i="19" s="1"/>
  <c r="K53" i="19"/>
  <c r="J53" i="19"/>
  <c r="H53" i="19"/>
  <c r="I53" i="19" s="1"/>
  <c r="E53" i="19"/>
  <c r="F53" i="19" s="1"/>
  <c r="J52" i="19"/>
  <c r="K52" i="19" s="1"/>
  <c r="H52" i="19"/>
  <c r="I52" i="19" s="1"/>
  <c r="E52" i="19"/>
  <c r="F52" i="19" s="1"/>
  <c r="K51" i="19"/>
  <c r="J51" i="19"/>
  <c r="H51" i="19"/>
  <c r="I51" i="19" s="1"/>
  <c r="E51" i="19"/>
  <c r="F51" i="19" s="1"/>
  <c r="J50" i="19"/>
  <c r="K50" i="19" s="1"/>
  <c r="H50" i="19"/>
  <c r="I50" i="19" s="1"/>
  <c r="E50" i="19"/>
  <c r="F50" i="19" s="1"/>
  <c r="J49" i="19"/>
  <c r="K49" i="19" s="1"/>
  <c r="H49" i="19"/>
  <c r="I49" i="19" s="1"/>
  <c r="E49" i="19"/>
  <c r="F49" i="19" s="1"/>
  <c r="J48" i="19"/>
  <c r="K48" i="19" s="1"/>
  <c r="H48" i="19"/>
  <c r="I48" i="19" s="1"/>
  <c r="E48" i="19"/>
  <c r="F48" i="19" s="1"/>
  <c r="K47" i="19"/>
  <c r="J47" i="19"/>
  <c r="H47" i="19"/>
  <c r="I47" i="19" s="1"/>
  <c r="E47" i="19"/>
  <c r="F47" i="19" s="1"/>
  <c r="J46" i="19"/>
  <c r="K46" i="19" s="1"/>
  <c r="H46" i="19"/>
  <c r="I46" i="19" s="1"/>
  <c r="E46" i="19"/>
  <c r="F46" i="19" s="1"/>
  <c r="J45" i="19"/>
  <c r="K45" i="19" s="1"/>
  <c r="H45" i="19"/>
  <c r="I45" i="19" s="1"/>
  <c r="E45" i="19"/>
  <c r="F45" i="19" s="1"/>
  <c r="J44" i="19"/>
  <c r="K44" i="19" s="1"/>
  <c r="H44" i="19"/>
  <c r="I44" i="19" s="1"/>
  <c r="E44" i="19"/>
  <c r="F44" i="19" s="1"/>
  <c r="J43" i="19"/>
  <c r="K43" i="19" s="1"/>
  <c r="H43" i="19"/>
  <c r="I43" i="19" s="1"/>
  <c r="E43" i="19"/>
  <c r="F43" i="19" s="1"/>
  <c r="J42" i="19"/>
  <c r="K42" i="19" s="1"/>
  <c r="H42" i="19"/>
  <c r="I42" i="19" s="1"/>
  <c r="E42" i="19"/>
  <c r="F42" i="19" s="1"/>
  <c r="K41" i="19"/>
  <c r="J41" i="19"/>
  <c r="H41" i="19"/>
  <c r="I41" i="19" s="1"/>
  <c r="E41" i="19"/>
  <c r="F41" i="19" s="1"/>
  <c r="J40" i="19"/>
  <c r="K40" i="19" s="1"/>
  <c r="H40" i="19"/>
  <c r="I40" i="19" s="1"/>
  <c r="E40" i="19"/>
  <c r="F40" i="19" s="1"/>
  <c r="J39" i="19"/>
  <c r="K39" i="19" s="1"/>
  <c r="H39" i="19"/>
  <c r="I39" i="19" s="1"/>
  <c r="E39" i="19"/>
  <c r="F39" i="19" s="1"/>
  <c r="J38" i="19"/>
  <c r="K38" i="19" s="1"/>
  <c r="H38" i="19"/>
  <c r="I38" i="19" s="1"/>
  <c r="E38" i="19"/>
  <c r="F38" i="19" s="1"/>
  <c r="J37" i="19"/>
  <c r="K37" i="19" s="1"/>
  <c r="H37" i="19"/>
  <c r="I37" i="19" s="1"/>
  <c r="E37" i="19"/>
  <c r="F37" i="19" s="1"/>
  <c r="J36" i="19"/>
  <c r="K36" i="19" s="1"/>
  <c r="H36" i="19"/>
  <c r="I36" i="19" s="1"/>
  <c r="E36" i="19"/>
  <c r="F36" i="19" s="1"/>
  <c r="K35" i="19"/>
  <c r="J35" i="19"/>
  <c r="H35" i="19"/>
  <c r="I35" i="19" s="1"/>
  <c r="E35" i="19"/>
  <c r="F35" i="19" s="1"/>
  <c r="J34" i="19"/>
  <c r="K34" i="19" s="1"/>
  <c r="H34" i="19"/>
  <c r="I34" i="19" s="1"/>
  <c r="E34" i="19"/>
  <c r="F34" i="19" s="1"/>
  <c r="J33" i="19"/>
  <c r="K33" i="19" s="1"/>
  <c r="H33" i="19"/>
  <c r="I33" i="19" s="1"/>
  <c r="E33" i="19"/>
  <c r="F33" i="19" s="1"/>
  <c r="J32" i="19"/>
  <c r="K32" i="19" s="1"/>
  <c r="H32" i="19"/>
  <c r="I32" i="19" s="1"/>
  <c r="E32" i="19"/>
  <c r="F32" i="19" s="1"/>
  <c r="J31" i="19"/>
  <c r="K31" i="19" s="1"/>
  <c r="H31" i="19"/>
  <c r="I31" i="19" s="1"/>
  <c r="E31" i="19"/>
  <c r="F31" i="19" s="1"/>
  <c r="J30" i="19"/>
  <c r="K30" i="19" s="1"/>
  <c r="H30" i="19"/>
  <c r="I30" i="19" s="1"/>
  <c r="E30" i="19"/>
  <c r="F30" i="19" s="1"/>
  <c r="K29" i="19"/>
  <c r="J29" i="19"/>
  <c r="H29" i="19"/>
  <c r="I29" i="19" s="1"/>
  <c r="E29" i="19"/>
  <c r="F29" i="19" s="1"/>
  <c r="J28" i="19"/>
  <c r="K28" i="19" s="1"/>
  <c r="H28" i="19"/>
  <c r="I28" i="19" s="1"/>
  <c r="E28" i="19"/>
  <c r="F28" i="19" s="1"/>
  <c r="K27" i="19"/>
  <c r="J27" i="19"/>
  <c r="H27" i="19"/>
  <c r="I27" i="19" s="1"/>
  <c r="E27" i="19"/>
  <c r="F27" i="19" s="1"/>
  <c r="J26" i="19"/>
  <c r="K26" i="19" s="1"/>
  <c r="H26" i="19"/>
  <c r="I26" i="19" s="1"/>
  <c r="E26" i="19"/>
  <c r="F26" i="19" s="1"/>
  <c r="J25" i="19"/>
  <c r="K25" i="19" s="1"/>
  <c r="H25" i="19"/>
  <c r="I25" i="19" s="1"/>
  <c r="E25" i="19"/>
  <c r="F25" i="19" s="1"/>
  <c r="J24" i="19"/>
  <c r="K24" i="19" s="1"/>
  <c r="H24" i="19"/>
  <c r="I24" i="19" s="1"/>
  <c r="E24" i="19"/>
  <c r="F24" i="19" s="1"/>
  <c r="K23" i="19"/>
  <c r="H23" i="19"/>
  <c r="I23" i="19" s="1"/>
  <c r="E23" i="19"/>
  <c r="F23" i="19" s="1"/>
  <c r="K22" i="19"/>
  <c r="H22" i="19"/>
  <c r="I22" i="19" s="1"/>
  <c r="E22" i="19"/>
  <c r="F22" i="19" s="1"/>
  <c r="K21" i="19"/>
  <c r="H21" i="19"/>
  <c r="I21" i="19" s="1"/>
  <c r="E21" i="19"/>
  <c r="F21" i="19" s="1"/>
  <c r="K20" i="19"/>
  <c r="H20" i="19"/>
  <c r="I20" i="19" s="1"/>
  <c r="E20" i="19"/>
  <c r="K19" i="19"/>
  <c r="H19" i="19"/>
  <c r="I19" i="19" s="1"/>
  <c r="E19" i="19"/>
  <c r="F19" i="19" s="1"/>
  <c r="K18" i="19"/>
  <c r="H18" i="19"/>
  <c r="I18" i="19" s="1"/>
  <c r="E18" i="19"/>
  <c r="F18" i="19" s="1"/>
  <c r="K17" i="19"/>
  <c r="H17" i="19"/>
  <c r="I17" i="19" s="1"/>
  <c r="E17" i="19"/>
  <c r="F17" i="19" s="1"/>
  <c r="K16" i="19"/>
  <c r="H16" i="19"/>
  <c r="I16" i="19" s="1"/>
  <c r="E16" i="19"/>
  <c r="F16" i="19" s="1"/>
  <c r="H11" i="19"/>
  <c r="E11" i="19"/>
  <c r="C11" i="19"/>
  <c r="B11" i="19"/>
  <c r="A11" i="19"/>
  <c r="H10" i="19"/>
  <c r="E10" i="19"/>
  <c r="C10" i="19"/>
  <c r="B10" i="19"/>
  <c r="A10" i="19"/>
  <c r="H14" i="19"/>
  <c r="E14" i="19"/>
  <c r="C14" i="19"/>
  <c r="B14" i="19"/>
  <c r="A14" i="19"/>
  <c r="H13" i="19"/>
  <c r="E13" i="19"/>
  <c r="C13" i="19"/>
  <c r="B13" i="19"/>
  <c r="A13" i="19"/>
  <c r="H6" i="19"/>
  <c r="E6" i="19"/>
  <c r="C6" i="19"/>
  <c r="B6" i="19"/>
  <c r="A6" i="19"/>
  <c r="H7" i="19"/>
  <c r="E7" i="19"/>
  <c r="C7" i="19"/>
  <c r="B7" i="19"/>
  <c r="A7" i="19"/>
  <c r="H9" i="19"/>
  <c r="E9" i="19"/>
  <c r="C9" i="19"/>
  <c r="B9" i="19"/>
  <c r="A9" i="19"/>
  <c r="H3" i="19"/>
  <c r="E3" i="19"/>
  <c r="C3" i="19"/>
  <c r="B3" i="19"/>
  <c r="A3" i="19"/>
  <c r="H4" i="19"/>
  <c r="E4" i="19"/>
  <c r="C4" i="19"/>
  <c r="B4" i="19"/>
  <c r="A4" i="19"/>
  <c r="H5" i="19"/>
  <c r="E5" i="19"/>
  <c r="C5" i="19"/>
  <c r="B5" i="19"/>
  <c r="A5" i="19"/>
  <c r="H15" i="19"/>
  <c r="I15" i="19" s="1"/>
  <c r="E15" i="19"/>
  <c r="F15" i="19" s="1"/>
  <c r="C15" i="19"/>
  <c r="B15" i="19"/>
  <c r="A15" i="19"/>
  <c r="H12" i="19"/>
  <c r="E12" i="19"/>
  <c r="C12" i="19"/>
  <c r="B12" i="19"/>
  <c r="A12" i="19"/>
  <c r="H2" i="19"/>
  <c r="E2" i="19"/>
  <c r="C2" i="19"/>
  <c r="B2" i="19"/>
  <c r="A2" i="19"/>
  <c r="H8" i="19"/>
  <c r="E8" i="19"/>
  <c r="C8" i="19"/>
  <c r="B8" i="19"/>
  <c r="A8" i="19"/>
  <c r="J100" i="18"/>
  <c r="K100" i="18" s="1"/>
  <c r="H100" i="18"/>
  <c r="I100" i="18" s="1"/>
  <c r="E100" i="18"/>
  <c r="F100" i="18" s="1"/>
  <c r="J99" i="18"/>
  <c r="K99" i="18" s="1"/>
  <c r="H99" i="18"/>
  <c r="I99" i="18" s="1"/>
  <c r="E99" i="18"/>
  <c r="F99" i="18" s="1"/>
  <c r="J98" i="18"/>
  <c r="K98" i="18" s="1"/>
  <c r="H98" i="18"/>
  <c r="I98" i="18" s="1"/>
  <c r="E98" i="18"/>
  <c r="F98" i="18" s="1"/>
  <c r="J97" i="18"/>
  <c r="K97" i="18" s="1"/>
  <c r="H97" i="18"/>
  <c r="I97" i="18" s="1"/>
  <c r="E97" i="18"/>
  <c r="F97" i="18" s="1"/>
  <c r="J96" i="18"/>
  <c r="K96" i="18" s="1"/>
  <c r="H96" i="18"/>
  <c r="I96" i="18" s="1"/>
  <c r="E96" i="18"/>
  <c r="F96" i="18" s="1"/>
  <c r="J95" i="18"/>
  <c r="K95" i="18" s="1"/>
  <c r="H95" i="18"/>
  <c r="I95" i="18" s="1"/>
  <c r="E95" i="18"/>
  <c r="F95" i="18" s="1"/>
  <c r="J94" i="18"/>
  <c r="K94" i="18" s="1"/>
  <c r="H94" i="18"/>
  <c r="I94" i="18" s="1"/>
  <c r="E94" i="18"/>
  <c r="F94" i="18" s="1"/>
  <c r="J93" i="18"/>
  <c r="K93" i="18" s="1"/>
  <c r="H93" i="18"/>
  <c r="I93" i="18" s="1"/>
  <c r="E93" i="18"/>
  <c r="F93" i="18" s="1"/>
  <c r="J92" i="18"/>
  <c r="K92" i="18" s="1"/>
  <c r="H92" i="18"/>
  <c r="I92" i="18" s="1"/>
  <c r="E92" i="18"/>
  <c r="F92" i="18" s="1"/>
  <c r="J91" i="18"/>
  <c r="K91" i="18" s="1"/>
  <c r="H91" i="18"/>
  <c r="I91" i="18" s="1"/>
  <c r="E91" i="18"/>
  <c r="F91" i="18" s="1"/>
  <c r="J90" i="18"/>
  <c r="K90" i="18" s="1"/>
  <c r="H90" i="18"/>
  <c r="I90" i="18" s="1"/>
  <c r="E90" i="18"/>
  <c r="F90" i="18" s="1"/>
  <c r="J89" i="18"/>
  <c r="K89" i="18" s="1"/>
  <c r="H89" i="18"/>
  <c r="I89" i="18" s="1"/>
  <c r="E89" i="18"/>
  <c r="F89" i="18" s="1"/>
  <c r="J88" i="18"/>
  <c r="K88" i="18" s="1"/>
  <c r="H88" i="18"/>
  <c r="I88" i="18" s="1"/>
  <c r="E88" i="18"/>
  <c r="F88" i="18" s="1"/>
  <c r="J87" i="18"/>
  <c r="K87" i="18" s="1"/>
  <c r="H87" i="18"/>
  <c r="I87" i="18" s="1"/>
  <c r="E87" i="18"/>
  <c r="F87" i="18" s="1"/>
  <c r="J86" i="18"/>
  <c r="K86" i="18" s="1"/>
  <c r="H86" i="18"/>
  <c r="I86" i="18" s="1"/>
  <c r="E86" i="18"/>
  <c r="F86" i="18" s="1"/>
  <c r="J85" i="18"/>
  <c r="K85" i="18" s="1"/>
  <c r="H85" i="18"/>
  <c r="I85" i="18" s="1"/>
  <c r="E85" i="18"/>
  <c r="F85" i="18" s="1"/>
  <c r="J84" i="18"/>
  <c r="K84" i="18" s="1"/>
  <c r="H84" i="18"/>
  <c r="I84" i="18" s="1"/>
  <c r="E84" i="18"/>
  <c r="F84" i="18" s="1"/>
  <c r="J83" i="18"/>
  <c r="K83" i="18" s="1"/>
  <c r="H83" i="18"/>
  <c r="I83" i="18" s="1"/>
  <c r="E83" i="18"/>
  <c r="F83" i="18" s="1"/>
  <c r="J82" i="18"/>
  <c r="K82" i="18" s="1"/>
  <c r="H82" i="18"/>
  <c r="I82" i="18" s="1"/>
  <c r="E82" i="18"/>
  <c r="F82" i="18" s="1"/>
  <c r="J81" i="18"/>
  <c r="K81" i="18" s="1"/>
  <c r="H81" i="18"/>
  <c r="I81" i="18" s="1"/>
  <c r="E81" i="18"/>
  <c r="F81" i="18" s="1"/>
  <c r="J80" i="18"/>
  <c r="K80" i="18" s="1"/>
  <c r="H80" i="18"/>
  <c r="I80" i="18" s="1"/>
  <c r="E80" i="18"/>
  <c r="F80" i="18" s="1"/>
  <c r="J79" i="18"/>
  <c r="K79" i="18" s="1"/>
  <c r="H79" i="18"/>
  <c r="I79" i="18" s="1"/>
  <c r="E79" i="18"/>
  <c r="F79" i="18" s="1"/>
  <c r="J78" i="18"/>
  <c r="K78" i="18" s="1"/>
  <c r="H78" i="18"/>
  <c r="I78" i="18" s="1"/>
  <c r="E78" i="18"/>
  <c r="F78" i="18" s="1"/>
  <c r="J77" i="18"/>
  <c r="K77" i="18" s="1"/>
  <c r="H77" i="18"/>
  <c r="I77" i="18" s="1"/>
  <c r="E77" i="18"/>
  <c r="F77" i="18" s="1"/>
  <c r="J76" i="18"/>
  <c r="K76" i="18" s="1"/>
  <c r="H76" i="18"/>
  <c r="I76" i="18" s="1"/>
  <c r="E76" i="18"/>
  <c r="F76" i="18" s="1"/>
  <c r="J75" i="18"/>
  <c r="K75" i="18" s="1"/>
  <c r="H75" i="18"/>
  <c r="I75" i="18" s="1"/>
  <c r="E75" i="18"/>
  <c r="F75" i="18" s="1"/>
  <c r="J74" i="18"/>
  <c r="K74" i="18" s="1"/>
  <c r="H74" i="18"/>
  <c r="I74" i="18" s="1"/>
  <c r="E74" i="18"/>
  <c r="F74" i="18" s="1"/>
  <c r="J73" i="18"/>
  <c r="K73" i="18" s="1"/>
  <c r="H73" i="18"/>
  <c r="I73" i="18" s="1"/>
  <c r="E73" i="18"/>
  <c r="F73" i="18" s="1"/>
  <c r="J72" i="18"/>
  <c r="K72" i="18" s="1"/>
  <c r="H72" i="18"/>
  <c r="I72" i="18" s="1"/>
  <c r="E72" i="18"/>
  <c r="F72" i="18" s="1"/>
  <c r="J71" i="18"/>
  <c r="K71" i="18" s="1"/>
  <c r="H71" i="18"/>
  <c r="I71" i="18" s="1"/>
  <c r="E71" i="18"/>
  <c r="F71" i="18" s="1"/>
  <c r="J70" i="18"/>
  <c r="K70" i="18" s="1"/>
  <c r="H70" i="18"/>
  <c r="I70" i="18" s="1"/>
  <c r="E70" i="18"/>
  <c r="F70" i="18" s="1"/>
  <c r="J69" i="18"/>
  <c r="K69" i="18" s="1"/>
  <c r="H69" i="18"/>
  <c r="I69" i="18" s="1"/>
  <c r="E69" i="18"/>
  <c r="F69" i="18" s="1"/>
  <c r="J68" i="18"/>
  <c r="K68" i="18" s="1"/>
  <c r="H68" i="18"/>
  <c r="I68" i="18" s="1"/>
  <c r="E68" i="18"/>
  <c r="F68" i="18" s="1"/>
  <c r="J67" i="18"/>
  <c r="K67" i="18" s="1"/>
  <c r="H67" i="18"/>
  <c r="I67" i="18" s="1"/>
  <c r="E67" i="18"/>
  <c r="F67" i="18" s="1"/>
  <c r="J66" i="18"/>
  <c r="K66" i="18" s="1"/>
  <c r="H66" i="18"/>
  <c r="I66" i="18" s="1"/>
  <c r="E66" i="18"/>
  <c r="F66" i="18" s="1"/>
  <c r="J65" i="18"/>
  <c r="K65" i="18" s="1"/>
  <c r="H65" i="18"/>
  <c r="I65" i="18" s="1"/>
  <c r="E65" i="18"/>
  <c r="F65" i="18" s="1"/>
  <c r="J64" i="18"/>
  <c r="K64" i="18" s="1"/>
  <c r="H64" i="18"/>
  <c r="I64" i="18" s="1"/>
  <c r="E64" i="18"/>
  <c r="F64" i="18" s="1"/>
  <c r="J63" i="18"/>
  <c r="K63" i="18" s="1"/>
  <c r="H63" i="18"/>
  <c r="I63" i="18" s="1"/>
  <c r="E63" i="18"/>
  <c r="F63" i="18" s="1"/>
  <c r="J62" i="18"/>
  <c r="K62" i="18" s="1"/>
  <c r="H62" i="18"/>
  <c r="I62" i="18" s="1"/>
  <c r="E62" i="18"/>
  <c r="F62" i="18" s="1"/>
  <c r="J61" i="18"/>
  <c r="K61" i="18" s="1"/>
  <c r="H61" i="18"/>
  <c r="I61" i="18" s="1"/>
  <c r="E61" i="18"/>
  <c r="F61" i="18" s="1"/>
  <c r="J60" i="18"/>
  <c r="K60" i="18" s="1"/>
  <c r="H60" i="18"/>
  <c r="I60" i="18" s="1"/>
  <c r="E60" i="18"/>
  <c r="F60" i="18" s="1"/>
  <c r="J59" i="18"/>
  <c r="K59" i="18" s="1"/>
  <c r="H59" i="18"/>
  <c r="I59" i="18" s="1"/>
  <c r="E59" i="18"/>
  <c r="F59" i="18" s="1"/>
  <c r="J58" i="18"/>
  <c r="K58" i="18" s="1"/>
  <c r="H58" i="18"/>
  <c r="I58" i="18" s="1"/>
  <c r="E58" i="18"/>
  <c r="F58" i="18" s="1"/>
  <c r="J57" i="18"/>
  <c r="K57" i="18" s="1"/>
  <c r="H57" i="18"/>
  <c r="I57" i="18" s="1"/>
  <c r="E57" i="18"/>
  <c r="F57" i="18" s="1"/>
  <c r="J56" i="18"/>
  <c r="K56" i="18" s="1"/>
  <c r="H56" i="18"/>
  <c r="I56" i="18" s="1"/>
  <c r="E56" i="18"/>
  <c r="F56" i="18" s="1"/>
  <c r="J55" i="18"/>
  <c r="K55" i="18" s="1"/>
  <c r="H55" i="18"/>
  <c r="I55" i="18" s="1"/>
  <c r="E55" i="18"/>
  <c r="F55" i="18" s="1"/>
  <c r="J54" i="18"/>
  <c r="K54" i="18" s="1"/>
  <c r="H54" i="18"/>
  <c r="I54" i="18" s="1"/>
  <c r="E54" i="18"/>
  <c r="F54" i="18" s="1"/>
  <c r="J53" i="18"/>
  <c r="K53" i="18" s="1"/>
  <c r="H53" i="18"/>
  <c r="I53" i="18" s="1"/>
  <c r="E53" i="18"/>
  <c r="F53" i="18" s="1"/>
  <c r="J52" i="18"/>
  <c r="K52" i="18" s="1"/>
  <c r="H52" i="18"/>
  <c r="I52" i="18" s="1"/>
  <c r="E52" i="18"/>
  <c r="F52" i="18" s="1"/>
  <c r="J51" i="18"/>
  <c r="K51" i="18" s="1"/>
  <c r="H51" i="18"/>
  <c r="I51" i="18" s="1"/>
  <c r="E51" i="18"/>
  <c r="F51" i="18" s="1"/>
  <c r="J50" i="18"/>
  <c r="K50" i="18" s="1"/>
  <c r="H50" i="18"/>
  <c r="I50" i="18" s="1"/>
  <c r="E50" i="18"/>
  <c r="F50" i="18" s="1"/>
  <c r="K49" i="18"/>
  <c r="H49" i="18"/>
  <c r="I49" i="18" s="1"/>
  <c r="E49" i="18"/>
  <c r="F49" i="18" s="1"/>
  <c r="K48" i="18"/>
  <c r="H48" i="18"/>
  <c r="I48" i="18" s="1"/>
  <c r="E48" i="18"/>
  <c r="F48" i="18" s="1"/>
  <c r="K47" i="18"/>
  <c r="H47" i="18"/>
  <c r="I47" i="18" s="1"/>
  <c r="E47" i="18"/>
  <c r="F47" i="18" s="1"/>
  <c r="K46" i="18"/>
  <c r="H46" i="18"/>
  <c r="I46" i="18" s="1"/>
  <c r="E46" i="18"/>
  <c r="F46" i="18" s="1"/>
  <c r="K45" i="18"/>
  <c r="H45" i="18"/>
  <c r="I45" i="18" s="1"/>
  <c r="E45" i="18"/>
  <c r="F45" i="18" s="1"/>
  <c r="K44" i="18"/>
  <c r="H44" i="18"/>
  <c r="I44" i="18" s="1"/>
  <c r="E44" i="18"/>
  <c r="F44" i="18" s="1"/>
  <c r="K43" i="18"/>
  <c r="H43" i="18"/>
  <c r="I43" i="18" s="1"/>
  <c r="E43" i="18"/>
  <c r="F43" i="18" s="1"/>
  <c r="K42" i="18"/>
  <c r="H42" i="18"/>
  <c r="I42" i="18" s="1"/>
  <c r="E42" i="18"/>
  <c r="F42" i="18" s="1"/>
  <c r="K41" i="18"/>
  <c r="H41" i="18"/>
  <c r="I41" i="18" s="1"/>
  <c r="E41" i="18"/>
  <c r="F41" i="18" s="1"/>
  <c r="K40" i="18"/>
  <c r="H40" i="18"/>
  <c r="I40" i="18" s="1"/>
  <c r="E40" i="18"/>
  <c r="F40" i="18" s="1"/>
  <c r="K39" i="18"/>
  <c r="H39" i="18"/>
  <c r="I39" i="18" s="1"/>
  <c r="E39" i="18"/>
  <c r="F39" i="18" s="1"/>
  <c r="K38" i="18"/>
  <c r="H38" i="18"/>
  <c r="I38" i="18" s="1"/>
  <c r="E38" i="18"/>
  <c r="F38" i="18" s="1"/>
  <c r="K37" i="18"/>
  <c r="H37" i="18"/>
  <c r="I37" i="18" s="1"/>
  <c r="E37" i="18"/>
  <c r="F37" i="18" s="1"/>
  <c r="K36" i="18"/>
  <c r="H36" i="18"/>
  <c r="I36" i="18" s="1"/>
  <c r="E36" i="18"/>
  <c r="F36" i="18" s="1"/>
  <c r="K35" i="18"/>
  <c r="H35" i="18"/>
  <c r="I35" i="18" s="1"/>
  <c r="E35" i="18"/>
  <c r="F35" i="18" s="1"/>
  <c r="K34" i="18"/>
  <c r="H34" i="18"/>
  <c r="I34" i="18" s="1"/>
  <c r="E34" i="18"/>
  <c r="F34" i="18" s="1"/>
  <c r="K33" i="18"/>
  <c r="H33" i="18"/>
  <c r="I33" i="18" s="1"/>
  <c r="E33" i="18"/>
  <c r="F33" i="18" s="1"/>
  <c r="K32" i="18"/>
  <c r="H32" i="18"/>
  <c r="I32" i="18" s="1"/>
  <c r="E32" i="18"/>
  <c r="F32" i="18" s="1"/>
  <c r="K31" i="18"/>
  <c r="H31" i="18"/>
  <c r="I31" i="18" s="1"/>
  <c r="E31" i="18"/>
  <c r="F31" i="18" s="1"/>
  <c r="K30" i="18"/>
  <c r="H30" i="18"/>
  <c r="I30" i="18" s="1"/>
  <c r="E30" i="18"/>
  <c r="F30" i="18" s="1"/>
  <c r="K29" i="18"/>
  <c r="H29" i="18"/>
  <c r="I29" i="18" s="1"/>
  <c r="E29" i="18"/>
  <c r="F29" i="18" s="1"/>
  <c r="K28" i="18"/>
  <c r="H28" i="18"/>
  <c r="I28" i="18" s="1"/>
  <c r="E28" i="18"/>
  <c r="F28" i="18" s="1"/>
  <c r="K27" i="18"/>
  <c r="H27" i="18"/>
  <c r="I27" i="18" s="1"/>
  <c r="E27" i="18"/>
  <c r="F27" i="18" s="1"/>
  <c r="K26" i="18"/>
  <c r="H26" i="18"/>
  <c r="I26" i="18" s="1"/>
  <c r="E26" i="18"/>
  <c r="F26" i="18" s="1"/>
  <c r="K25" i="18"/>
  <c r="H25" i="18"/>
  <c r="I25" i="18" s="1"/>
  <c r="E25" i="18"/>
  <c r="F25" i="18" s="1"/>
  <c r="K24" i="18"/>
  <c r="H24" i="18"/>
  <c r="I24" i="18" s="1"/>
  <c r="E24" i="18"/>
  <c r="F24" i="18" s="1"/>
  <c r="K23" i="18"/>
  <c r="H23" i="18"/>
  <c r="I23" i="18" s="1"/>
  <c r="E23" i="18"/>
  <c r="F23" i="18" s="1"/>
  <c r="K22" i="18"/>
  <c r="H22" i="18"/>
  <c r="I22" i="18" s="1"/>
  <c r="E22" i="18"/>
  <c r="F22" i="18" s="1"/>
  <c r="K21" i="18"/>
  <c r="H21" i="18"/>
  <c r="I21" i="18" s="1"/>
  <c r="E21" i="18"/>
  <c r="F21" i="18" s="1"/>
  <c r="K20" i="18"/>
  <c r="H20" i="18"/>
  <c r="I20" i="18" s="1"/>
  <c r="E20" i="18"/>
  <c r="F20" i="18" s="1"/>
  <c r="K19" i="18"/>
  <c r="H19" i="18"/>
  <c r="I19" i="18" s="1"/>
  <c r="E19" i="18"/>
  <c r="F19" i="18" s="1"/>
  <c r="K18" i="18"/>
  <c r="H18" i="18"/>
  <c r="I18" i="18" s="1"/>
  <c r="E18" i="18"/>
  <c r="F18" i="18" s="1"/>
  <c r="H17" i="18"/>
  <c r="E17" i="18"/>
  <c r="C17" i="18"/>
  <c r="B17" i="18"/>
  <c r="A17" i="18"/>
  <c r="H10" i="18"/>
  <c r="E10" i="18"/>
  <c r="C10" i="18"/>
  <c r="B10" i="18"/>
  <c r="A10" i="18"/>
  <c r="H8" i="18"/>
  <c r="E8" i="18"/>
  <c r="C8" i="18"/>
  <c r="B8" i="18"/>
  <c r="A8" i="18"/>
  <c r="H4" i="18"/>
  <c r="E4" i="18"/>
  <c r="C4" i="18"/>
  <c r="B4" i="18"/>
  <c r="A4" i="18"/>
  <c r="H3" i="18"/>
  <c r="E3" i="18"/>
  <c r="C3" i="18"/>
  <c r="B3" i="18"/>
  <c r="A3" i="18"/>
  <c r="H5" i="18"/>
  <c r="E5" i="18"/>
  <c r="C5" i="18"/>
  <c r="B5" i="18"/>
  <c r="A5" i="18"/>
  <c r="H6" i="18"/>
  <c r="E6" i="18"/>
  <c r="C6" i="18"/>
  <c r="B6" i="18"/>
  <c r="A6" i="18"/>
  <c r="H16" i="18"/>
  <c r="I16" i="18" s="1"/>
  <c r="E16" i="18"/>
  <c r="F16" i="18" s="1"/>
  <c r="C16" i="18"/>
  <c r="B16" i="18"/>
  <c r="A16" i="18"/>
  <c r="H11" i="18"/>
  <c r="E11" i="18"/>
  <c r="C11" i="18"/>
  <c r="B11" i="18"/>
  <c r="A11" i="18"/>
  <c r="H15" i="18"/>
  <c r="I15" i="18" s="1"/>
  <c r="E15" i="18"/>
  <c r="F15" i="18" s="1"/>
  <c r="C15" i="18"/>
  <c r="B15" i="18"/>
  <c r="A15" i="18"/>
  <c r="H9" i="18"/>
  <c r="E9" i="18"/>
  <c r="C9" i="18"/>
  <c r="B9" i="18"/>
  <c r="A9" i="18"/>
  <c r="H12" i="18"/>
  <c r="E12" i="18"/>
  <c r="C12" i="18"/>
  <c r="B12" i="18"/>
  <c r="A12" i="18"/>
  <c r="H14" i="18"/>
  <c r="I14" i="18" s="1"/>
  <c r="E14" i="18"/>
  <c r="F14" i="18" s="1"/>
  <c r="C14" i="18"/>
  <c r="B14" i="18"/>
  <c r="A14" i="18"/>
  <c r="H13" i="18"/>
  <c r="E13" i="18"/>
  <c r="C13" i="18"/>
  <c r="B13" i="18"/>
  <c r="A13" i="18"/>
  <c r="H7" i="18"/>
  <c r="E7" i="18"/>
  <c r="C7" i="18"/>
  <c r="B7" i="18"/>
  <c r="A7" i="18"/>
  <c r="H2" i="18"/>
  <c r="E2" i="18"/>
  <c r="C2" i="18"/>
  <c r="B2" i="18"/>
  <c r="A2" i="18"/>
  <c r="J100" i="17"/>
  <c r="K100" i="17" s="1"/>
  <c r="H100" i="17"/>
  <c r="I100" i="17" s="1"/>
  <c r="E100" i="17"/>
  <c r="F100" i="17" s="1"/>
  <c r="J99" i="17"/>
  <c r="K99" i="17" s="1"/>
  <c r="H99" i="17"/>
  <c r="I99" i="17" s="1"/>
  <c r="E99" i="17"/>
  <c r="F99" i="17" s="1"/>
  <c r="J98" i="17"/>
  <c r="K98" i="17" s="1"/>
  <c r="H98" i="17"/>
  <c r="I98" i="17" s="1"/>
  <c r="E98" i="17"/>
  <c r="F98" i="17" s="1"/>
  <c r="J97" i="17"/>
  <c r="K97" i="17" s="1"/>
  <c r="H97" i="17"/>
  <c r="I97" i="17" s="1"/>
  <c r="E97" i="17"/>
  <c r="F97" i="17" s="1"/>
  <c r="J96" i="17"/>
  <c r="K96" i="17" s="1"/>
  <c r="H96" i="17"/>
  <c r="I96" i="17" s="1"/>
  <c r="E96" i="17"/>
  <c r="F96" i="17" s="1"/>
  <c r="J95" i="17"/>
  <c r="K95" i="17" s="1"/>
  <c r="H95" i="17"/>
  <c r="I95" i="17" s="1"/>
  <c r="E95" i="17"/>
  <c r="F95" i="17" s="1"/>
  <c r="J94" i="17"/>
  <c r="K94" i="17" s="1"/>
  <c r="H94" i="17"/>
  <c r="I94" i="17" s="1"/>
  <c r="E94" i="17"/>
  <c r="F94" i="17" s="1"/>
  <c r="J93" i="17"/>
  <c r="K93" i="17" s="1"/>
  <c r="H93" i="17"/>
  <c r="I93" i="17" s="1"/>
  <c r="E93" i="17"/>
  <c r="F93" i="17" s="1"/>
  <c r="J92" i="17"/>
  <c r="K92" i="17" s="1"/>
  <c r="H92" i="17"/>
  <c r="I92" i="17" s="1"/>
  <c r="E92" i="17"/>
  <c r="F92" i="17" s="1"/>
  <c r="J91" i="17"/>
  <c r="K91" i="17" s="1"/>
  <c r="H91" i="17"/>
  <c r="I91" i="17" s="1"/>
  <c r="E91" i="17"/>
  <c r="F91" i="17" s="1"/>
  <c r="J90" i="17"/>
  <c r="K90" i="17" s="1"/>
  <c r="H90" i="17"/>
  <c r="I90" i="17" s="1"/>
  <c r="E90" i="17"/>
  <c r="F90" i="17" s="1"/>
  <c r="J89" i="17"/>
  <c r="K89" i="17" s="1"/>
  <c r="H89" i="17"/>
  <c r="I89" i="17" s="1"/>
  <c r="E89" i="17"/>
  <c r="F89" i="17" s="1"/>
  <c r="J88" i="17"/>
  <c r="K88" i="17" s="1"/>
  <c r="H88" i="17"/>
  <c r="I88" i="17" s="1"/>
  <c r="E88" i="17"/>
  <c r="F88" i="17" s="1"/>
  <c r="J87" i="17"/>
  <c r="K87" i="17" s="1"/>
  <c r="H87" i="17"/>
  <c r="I87" i="17" s="1"/>
  <c r="E87" i="17"/>
  <c r="F87" i="17" s="1"/>
  <c r="J86" i="17"/>
  <c r="K86" i="17" s="1"/>
  <c r="H86" i="17"/>
  <c r="I86" i="17" s="1"/>
  <c r="E86" i="17"/>
  <c r="F86" i="17" s="1"/>
  <c r="J85" i="17"/>
  <c r="K85" i="17" s="1"/>
  <c r="H85" i="17"/>
  <c r="I85" i="17" s="1"/>
  <c r="E85" i="17"/>
  <c r="F85" i="17" s="1"/>
  <c r="J84" i="17"/>
  <c r="K84" i="17" s="1"/>
  <c r="H84" i="17"/>
  <c r="I84" i="17" s="1"/>
  <c r="E84" i="17"/>
  <c r="F84" i="17" s="1"/>
  <c r="J83" i="17"/>
  <c r="K83" i="17" s="1"/>
  <c r="H83" i="17"/>
  <c r="I83" i="17" s="1"/>
  <c r="E83" i="17"/>
  <c r="F83" i="17" s="1"/>
  <c r="J82" i="17"/>
  <c r="K82" i="17" s="1"/>
  <c r="H82" i="17"/>
  <c r="I82" i="17" s="1"/>
  <c r="E82" i="17"/>
  <c r="F82" i="17" s="1"/>
  <c r="J81" i="17"/>
  <c r="K81" i="17" s="1"/>
  <c r="H81" i="17"/>
  <c r="I81" i="17" s="1"/>
  <c r="E81" i="17"/>
  <c r="F81" i="17" s="1"/>
  <c r="J80" i="17"/>
  <c r="K80" i="17" s="1"/>
  <c r="H80" i="17"/>
  <c r="I80" i="17" s="1"/>
  <c r="E80" i="17"/>
  <c r="F80" i="17" s="1"/>
  <c r="J79" i="17"/>
  <c r="K79" i="17" s="1"/>
  <c r="H79" i="17"/>
  <c r="I79" i="17" s="1"/>
  <c r="E79" i="17"/>
  <c r="F79" i="17" s="1"/>
  <c r="J78" i="17"/>
  <c r="K78" i="17" s="1"/>
  <c r="H78" i="17"/>
  <c r="I78" i="17" s="1"/>
  <c r="E78" i="17"/>
  <c r="F78" i="17" s="1"/>
  <c r="J77" i="17"/>
  <c r="K77" i="17" s="1"/>
  <c r="H77" i="17"/>
  <c r="I77" i="17" s="1"/>
  <c r="E77" i="17"/>
  <c r="F77" i="17" s="1"/>
  <c r="J76" i="17"/>
  <c r="K76" i="17" s="1"/>
  <c r="H76" i="17"/>
  <c r="I76" i="17" s="1"/>
  <c r="E76" i="17"/>
  <c r="F76" i="17" s="1"/>
  <c r="J75" i="17"/>
  <c r="K75" i="17" s="1"/>
  <c r="H75" i="17"/>
  <c r="I75" i="17" s="1"/>
  <c r="E75" i="17"/>
  <c r="F75" i="17" s="1"/>
  <c r="J74" i="17"/>
  <c r="K74" i="17" s="1"/>
  <c r="H74" i="17"/>
  <c r="I74" i="17" s="1"/>
  <c r="E74" i="17"/>
  <c r="F74" i="17" s="1"/>
  <c r="J73" i="17"/>
  <c r="K73" i="17" s="1"/>
  <c r="H73" i="17"/>
  <c r="I73" i="17" s="1"/>
  <c r="E73" i="17"/>
  <c r="F73" i="17" s="1"/>
  <c r="J72" i="17"/>
  <c r="K72" i="17" s="1"/>
  <c r="H72" i="17"/>
  <c r="I72" i="17" s="1"/>
  <c r="E72" i="17"/>
  <c r="F72" i="17" s="1"/>
  <c r="J71" i="17"/>
  <c r="K71" i="17" s="1"/>
  <c r="H71" i="17"/>
  <c r="I71" i="17" s="1"/>
  <c r="E71" i="17"/>
  <c r="F71" i="17" s="1"/>
  <c r="K70" i="17"/>
  <c r="J70" i="17"/>
  <c r="H70" i="17"/>
  <c r="I70" i="17" s="1"/>
  <c r="E70" i="17"/>
  <c r="F70" i="17" s="1"/>
  <c r="J69" i="17"/>
  <c r="K69" i="17" s="1"/>
  <c r="H69" i="17"/>
  <c r="I69" i="17" s="1"/>
  <c r="E69" i="17"/>
  <c r="F69" i="17" s="1"/>
  <c r="J68" i="17"/>
  <c r="K68" i="17" s="1"/>
  <c r="H68" i="17"/>
  <c r="I68" i="17" s="1"/>
  <c r="E68" i="17"/>
  <c r="F68" i="17" s="1"/>
  <c r="J67" i="17"/>
  <c r="K67" i="17" s="1"/>
  <c r="H67" i="17"/>
  <c r="I67" i="17" s="1"/>
  <c r="E67" i="17"/>
  <c r="F67" i="17" s="1"/>
  <c r="J66" i="17"/>
  <c r="K66" i="17" s="1"/>
  <c r="H66" i="17"/>
  <c r="I66" i="17" s="1"/>
  <c r="E66" i="17"/>
  <c r="F66" i="17" s="1"/>
  <c r="J65" i="17"/>
  <c r="K65" i="17" s="1"/>
  <c r="H65" i="17"/>
  <c r="I65" i="17" s="1"/>
  <c r="E65" i="17"/>
  <c r="F65" i="17" s="1"/>
  <c r="K64" i="17"/>
  <c r="J64" i="17"/>
  <c r="H64" i="17"/>
  <c r="I64" i="17" s="1"/>
  <c r="E64" i="17"/>
  <c r="F64" i="17" s="1"/>
  <c r="J63" i="17"/>
  <c r="K63" i="17" s="1"/>
  <c r="H63" i="17"/>
  <c r="I63" i="17" s="1"/>
  <c r="E63" i="17"/>
  <c r="F63" i="17" s="1"/>
  <c r="K62" i="17"/>
  <c r="J62" i="17"/>
  <c r="H62" i="17"/>
  <c r="I62" i="17" s="1"/>
  <c r="E62" i="17"/>
  <c r="F62" i="17" s="1"/>
  <c r="J61" i="17"/>
  <c r="K61" i="17" s="1"/>
  <c r="H61" i="17"/>
  <c r="I61" i="17" s="1"/>
  <c r="E61" i="17"/>
  <c r="F61" i="17" s="1"/>
  <c r="J60" i="17"/>
  <c r="K60" i="17" s="1"/>
  <c r="H60" i="17"/>
  <c r="I60" i="17" s="1"/>
  <c r="E60" i="17"/>
  <c r="F60" i="17" s="1"/>
  <c r="J59" i="17"/>
  <c r="K59" i="17" s="1"/>
  <c r="H59" i="17"/>
  <c r="I59" i="17" s="1"/>
  <c r="E59" i="17"/>
  <c r="F59" i="17" s="1"/>
  <c r="K58" i="17"/>
  <c r="J58" i="17"/>
  <c r="H58" i="17"/>
  <c r="I58" i="17" s="1"/>
  <c r="E58" i="17"/>
  <c r="F58" i="17" s="1"/>
  <c r="K57" i="17"/>
  <c r="J57" i="17"/>
  <c r="H57" i="17"/>
  <c r="I57" i="17" s="1"/>
  <c r="E57" i="17"/>
  <c r="F57" i="17" s="1"/>
  <c r="K56" i="17"/>
  <c r="J56" i="17"/>
  <c r="H56" i="17"/>
  <c r="I56" i="17" s="1"/>
  <c r="E56" i="17"/>
  <c r="F56" i="17" s="1"/>
  <c r="K55" i="17"/>
  <c r="J55" i="17"/>
  <c r="H55" i="17"/>
  <c r="I55" i="17" s="1"/>
  <c r="E55" i="17"/>
  <c r="F55" i="17" s="1"/>
  <c r="K54" i="17"/>
  <c r="J54" i="17"/>
  <c r="H54" i="17"/>
  <c r="I54" i="17" s="1"/>
  <c r="E54" i="17"/>
  <c r="F54" i="17" s="1"/>
  <c r="K53" i="17"/>
  <c r="H53" i="17"/>
  <c r="I53" i="17" s="1"/>
  <c r="E53" i="17"/>
  <c r="F53" i="17" s="1"/>
  <c r="K52" i="17"/>
  <c r="H52" i="17"/>
  <c r="I52" i="17" s="1"/>
  <c r="E52" i="17"/>
  <c r="F52" i="17" s="1"/>
  <c r="K51" i="17"/>
  <c r="H51" i="17"/>
  <c r="I51" i="17" s="1"/>
  <c r="E51" i="17"/>
  <c r="F51" i="17" s="1"/>
  <c r="K50" i="17"/>
  <c r="H50" i="17"/>
  <c r="I50" i="17" s="1"/>
  <c r="E50" i="17"/>
  <c r="F50" i="17" s="1"/>
  <c r="K49" i="17"/>
  <c r="H49" i="17"/>
  <c r="I49" i="17" s="1"/>
  <c r="E49" i="17"/>
  <c r="F49" i="17" s="1"/>
  <c r="K48" i="17"/>
  <c r="H48" i="17"/>
  <c r="I48" i="17" s="1"/>
  <c r="E48" i="17"/>
  <c r="F48" i="17" s="1"/>
  <c r="K47" i="17"/>
  <c r="H47" i="17"/>
  <c r="I47" i="17" s="1"/>
  <c r="E47" i="17"/>
  <c r="F47" i="17" s="1"/>
  <c r="K46" i="17"/>
  <c r="H46" i="17"/>
  <c r="I46" i="17" s="1"/>
  <c r="E46" i="17"/>
  <c r="F46" i="17" s="1"/>
  <c r="K45" i="17"/>
  <c r="H45" i="17"/>
  <c r="I45" i="17" s="1"/>
  <c r="E45" i="17"/>
  <c r="F45" i="17" s="1"/>
  <c r="K44" i="17"/>
  <c r="H44" i="17"/>
  <c r="I44" i="17" s="1"/>
  <c r="E44" i="17"/>
  <c r="F44" i="17" s="1"/>
  <c r="K43" i="17"/>
  <c r="H43" i="17"/>
  <c r="I43" i="17" s="1"/>
  <c r="E43" i="17"/>
  <c r="F43" i="17" s="1"/>
  <c r="K42" i="17"/>
  <c r="H42" i="17"/>
  <c r="I42" i="17" s="1"/>
  <c r="E42" i="17"/>
  <c r="F42" i="17" s="1"/>
  <c r="K41" i="17"/>
  <c r="H41" i="17"/>
  <c r="I41" i="17" s="1"/>
  <c r="E41" i="17"/>
  <c r="F41" i="17" s="1"/>
  <c r="K40" i="17"/>
  <c r="H40" i="17"/>
  <c r="I40" i="17" s="1"/>
  <c r="E40" i="17"/>
  <c r="F40" i="17" s="1"/>
  <c r="K39" i="17"/>
  <c r="H39" i="17"/>
  <c r="I39" i="17" s="1"/>
  <c r="E39" i="17"/>
  <c r="F39" i="17" s="1"/>
  <c r="K38" i="17"/>
  <c r="H38" i="17"/>
  <c r="I38" i="17" s="1"/>
  <c r="E38" i="17"/>
  <c r="F38" i="17" s="1"/>
  <c r="K37" i="17"/>
  <c r="H37" i="17"/>
  <c r="I37" i="17" s="1"/>
  <c r="E37" i="17"/>
  <c r="F37" i="17" s="1"/>
  <c r="K36" i="17"/>
  <c r="H36" i="17"/>
  <c r="I36" i="17" s="1"/>
  <c r="E36" i="17"/>
  <c r="F36" i="17" s="1"/>
  <c r="K35" i="17"/>
  <c r="H35" i="17"/>
  <c r="I35" i="17" s="1"/>
  <c r="E35" i="17"/>
  <c r="F35" i="17" s="1"/>
  <c r="K34" i="17"/>
  <c r="H34" i="17"/>
  <c r="I34" i="17" s="1"/>
  <c r="E34" i="17"/>
  <c r="F34" i="17" s="1"/>
  <c r="K33" i="17"/>
  <c r="H33" i="17"/>
  <c r="I33" i="17" s="1"/>
  <c r="E33" i="17"/>
  <c r="F33" i="17" s="1"/>
  <c r="K32" i="17"/>
  <c r="H32" i="17"/>
  <c r="I32" i="17" s="1"/>
  <c r="E32" i="17"/>
  <c r="F32" i="17" s="1"/>
  <c r="K31" i="17"/>
  <c r="H31" i="17"/>
  <c r="I31" i="17" s="1"/>
  <c r="E31" i="17"/>
  <c r="F31" i="17" s="1"/>
  <c r="K30" i="17"/>
  <c r="H30" i="17"/>
  <c r="I30" i="17" s="1"/>
  <c r="E30" i="17"/>
  <c r="F30" i="17" s="1"/>
  <c r="K29" i="17"/>
  <c r="H29" i="17"/>
  <c r="I29" i="17" s="1"/>
  <c r="E29" i="17"/>
  <c r="F29" i="17" s="1"/>
  <c r="K28" i="17"/>
  <c r="H28" i="17"/>
  <c r="I28" i="17" s="1"/>
  <c r="E28" i="17"/>
  <c r="F28" i="17" s="1"/>
  <c r="K27" i="17"/>
  <c r="H27" i="17"/>
  <c r="I27" i="17" s="1"/>
  <c r="E27" i="17"/>
  <c r="F27" i="17" s="1"/>
  <c r="K26" i="17"/>
  <c r="H26" i="17"/>
  <c r="I26" i="17" s="1"/>
  <c r="E26" i="17"/>
  <c r="F26" i="17" s="1"/>
  <c r="K25" i="17"/>
  <c r="H25" i="17"/>
  <c r="I25" i="17" s="1"/>
  <c r="E25" i="17"/>
  <c r="F25" i="17" s="1"/>
  <c r="K24" i="17"/>
  <c r="H24" i="17"/>
  <c r="I24" i="17" s="1"/>
  <c r="E24" i="17"/>
  <c r="F24" i="17" s="1"/>
  <c r="K23" i="17"/>
  <c r="H23" i="17"/>
  <c r="I23" i="17" s="1"/>
  <c r="E23" i="17"/>
  <c r="F23" i="17" s="1"/>
  <c r="K22" i="17"/>
  <c r="H22" i="17"/>
  <c r="I22" i="17" s="1"/>
  <c r="E22" i="17"/>
  <c r="F22" i="17" s="1"/>
  <c r="K21" i="17"/>
  <c r="H21" i="17"/>
  <c r="I21" i="17" s="1"/>
  <c r="E21" i="17"/>
  <c r="F21" i="17" s="1"/>
  <c r="K20" i="17"/>
  <c r="H20" i="17"/>
  <c r="I20" i="17" s="1"/>
  <c r="E20" i="17"/>
  <c r="F20" i="17" s="1"/>
  <c r="K19" i="17"/>
  <c r="H19" i="17"/>
  <c r="I19" i="17" s="1"/>
  <c r="E19" i="17"/>
  <c r="F19" i="17" s="1"/>
  <c r="K18" i="17"/>
  <c r="H18" i="17"/>
  <c r="I18" i="17" s="1"/>
  <c r="E18" i="17"/>
  <c r="F18" i="17" s="1"/>
  <c r="K17" i="17"/>
  <c r="H17" i="17"/>
  <c r="I17" i="17" s="1"/>
  <c r="E17" i="17"/>
  <c r="F17" i="17" s="1"/>
  <c r="K16" i="17"/>
  <c r="H16" i="17"/>
  <c r="I16" i="17" s="1"/>
  <c r="E16" i="17"/>
  <c r="F16" i="17" s="1"/>
  <c r="H7" i="17"/>
  <c r="E7" i="17"/>
  <c r="C7" i="17"/>
  <c r="B7" i="17"/>
  <c r="A7" i="17"/>
  <c r="H15" i="17"/>
  <c r="I15" i="17" s="1"/>
  <c r="E15" i="17"/>
  <c r="F15" i="17" s="1"/>
  <c r="C15" i="17"/>
  <c r="B15" i="17"/>
  <c r="A15" i="17"/>
  <c r="H9" i="17"/>
  <c r="E9" i="17"/>
  <c r="C9" i="17"/>
  <c r="B9" i="17"/>
  <c r="A9" i="17"/>
  <c r="H4" i="17"/>
  <c r="E4" i="17"/>
  <c r="C4" i="17"/>
  <c r="B4" i="17"/>
  <c r="A4" i="17"/>
  <c r="H10" i="17"/>
  <c r="E10" i="17"/>
  <c r="C10" i="17"/>
  <c r="B10" i="17"/>
  <c r="A10" i="17"/>
  <c r="H8" i="17"/>
  <c r="E8" i="17"/>
  <c r="C8" i="17"/>
  <c r="B8" i="17"/>
  <c r="A8" i="17"/>
  <c r="H12" i="17"/>
  <c r="E12" i="17"/>
  <c r="C12" i="17"/>
  <c r="B12" i="17"/>
  <c r="A12" i="17"/>
  <c r="H3" i="17"/>
  <c r="E3" i="17"/>
  <c r="C3" i="17"/>
  <c r="B3" i="17"/>
  <c r="A3" i="17"/>
  <c r="H14" i="17"/>
  <c r="I14" i="17" s="1"/>
  <c r="E14" i="17"/>
  <c r="F14" i="17" s="1"/>
  <c r="C14" i="17"/>
  <c r="B14" i="17"/>
  <c r="A14" i="17"/>
  <c r="H5" i="17"/>
  <c r="E5" i="17"/>
  <c r="C5" i="17"/>
  <c r="B5" i="17"/>
  <c r="A5" i="17"/>
  <c r="H13" i="17"/>
  <c r="E13" i="17"/>
  <c r="C13" i="17"/>
  <c r="B13" i="17"/>
  <c r="A13" i="17"/>
  <c r="H11" i="17"/>
  <c r="E11" i="17"/>
  <c r="C11" i="17"/>
  <c r="B11" i="17"/>
  <c r="A11" i="17"/>
  <c r="H2" i="17"/>
  <c r="E2" i="17"/>
  <c r="C2" i="17"/>
  <c r="B2" i="17"/>
  <c r="A2" i="17"/>
  <c r="H6" i="17"/>
  <c r="E6" i="17"/>
  <c r="C6" i="17"/>
  <c r="B6" i="17"/>
  <c r="A6" i="17"/>
  <c r="K100" i="16"/>
  <c r="J100" i="16"/>
  <c r="H100" i="16"/>
  <c r="I100" i="16" s="1"/>
  <c r="E100" i="16"/>
  <c r="F100" i="16" s="1"/>
  <c r="K99" i="16"/>
  <c r="J99" i="16"/>
  <c r="H99" i="16"/>
  <c r="I99" i="16" s="1"/>
  <c r="E99" i="16"/>
  <c r="F99" i="16" s="1"/>
  <c r="K98" i="16"/>
  <c r="J98" i="16"/>
  <c r="H98" i="16"/>
  <c r="I98" i="16" s="1"/>
  <c r="E98" i="16"/>
  <c r="F98" i="16" s="1"/>
  <c r="K97" i="16"/>
  <c r="J97" i="16"/>
  <c r="H97" i="16"/>
  <c r="I97" i="16" s="1"/>
  <c r="E97" i="16"/>
  <c r="F97" i="16" s="1"/>
  <c r="K96" i="16"/>
  <c r="J96" i="16"/>
  <c r="H96" i="16"/>
  <c r="I96" i="16" s="1"/>
  <c r="E96" i="16"/>
  <c r="F96" i="16" s="1"/>
  <c r="K95" i="16"/>
  <c r="J95" i="16"/>
  <c r="H95" i="16"/>
  <c r="I95" i="16" s="1"/>
  <c r="E95" i="16"/>
  <c r="F95" i="16" s="1"/>
  <c r="K94" i="16"/>
  <c r="J94" i="16"/>
  <c r="H94" i="16"/>
  <c r="I94" i="16" s="1"/>
  <c r="E94" i="16"/>
  <c r="F94" i="16" s="1"/>
  <c r="K93" i="16"/>
  <c r="J93" i="16"/>
  <c r="H93" i="16"/>
  <c r="I93" i="16" s="1"/>
  <c r="E93" i="16"/>
  <c r="F93" i="16" s="1"/>
  <c r="K92" i="16"/>
  <c r="J92" i="16"/>
  <c r="H92" i="16"/>
  <c r="I92" i="16" s="1"/>
  <c r="E92" i="16"/>
  <c r="F92" i="16" s="1"/>
  <c r="K91" i="16"/>
  <c r="J91" i="16"/>
  <c r="H91" i="16"/>
  <c r="I91" i="16" s="1"/>
  <c r="E91" i="16"/>
  <c r="F91" i="16" s="1"/>
  <c r="K90" i="16"/>
  <c r="J90" i="16"/>
  <c r="H90" i="16"/>
  <c r="I90" i="16" s="1"/>
  <c r="E90" i="16"/>
  <c r="F90" i="16" s="1"/>
  <c r="K89" i="16"/>
  <c r="J89" i="16"/>
  <c r="H89" i="16"/>
  <c r="I89" i="16" s="1"/>
  <c r="E89" i="16"/>
  <c r="F89" i="16" s="1"/>
  <c r="K88" i="16"/>
  <c r="J88" i="16"/>
  <c r="H88" i="16"/>
  <c r="I88" i="16" s="1"/>
  <c r="E88" i="16"/>
  <c r="F88" i="16" s="1"/>
  <c r="K87" i="16"/>
  <c r="J87" i="16"/>
  <c r="H87" i="16"/>
  <c r="I87" i="16" s="1"/>
  <c r="E87" i="16"/>
  <c r="F87" i="16" s="1"/>
  <c r="K86" i="16"/>
  <c r="J86" i="16"/>
  <c r="H86" i="16"/>
  <c r="I86" i="16" s="1"/>
  <c r="E86" i="16"/>
  <c r="F86" i="16" s="1"/>
  <c r="K85" i="16"/>
  <c r="J85" i="16"/>
  <c r="H85" i="16"/>
  <c r="I85" i="16" s="1"/>
  <c r="E85" i="16"/>
  <c r="F85" i="16" s="1"/>
  <c r="K84" i="16"/>
  <c r="J84" i="16"/>
  <c r="H84" i="16"/>
  <c r="I84" i="16" s="1"/>
  <c r="E84" i="16"/>
  <c r="F84" i="16" s="1"/>
  <c r="K83" i="16"/>
  <c r="J83" i="16"/>
  <c r="H83" i="16"/>
  <c r="I83" i="16" s="1"/>
  <c r="E83" i="16"/>
  <c r="F83" i="16" s="1"/>
  <c r="K82" i="16"/>
  <c r="J82" i="16"/>
  <c r="H82" i="16"/>
  <c r="I82" i="16" s="1"/>
  <c r="E82" i="16"/>
  <c r="F82" i="16" s="1"/>
  <c r="K81" i="16"/>
  <c r="J81" i="16"/>
  <c r="H81" i="16"/>
  <c r="I81" i="16" s="1"/>
  <c r="E81" i="16"/>
  <c r="F81" i="16" s="1"/>
  <c r="K80" i="16"/>
  <c r="J80" i="16"/>
  <c r="H80" i="16"/>
  <c r="I80" i="16" s="1"/>
  <c r="E80" i="16"/>
  <c r="F80" i="16" s="1"/>
  <c r="K79" i="16"/>
  <c r="J79" i="16"/>
  <c r="H79" i="16"/>
  <c r="I79" i="16" s="1"/>
  <c r="E79" i="16"/>
  <c r="F79" i="16" s="1"/>
  <c r="K78" i="16"/>
  <c r="J78" i="16"/>
  <c r="H78" i="16"/>
  <c r="I78" i="16" s="1"/>
  <c r="E78" i="16"/>
  <c r="F78" i="16" s="1"/>
  <c r="K77" i="16"/>
  <c r="J77" i="16"/>
  <c r="H77" i="16"/>
  <c r="I77" i="16" s="1"/>
  <c r="E77" i="16"/>
  <c r="F77" i="16" s="1"/>
  <c r="K76" i="16"/>
  <c r="J76" i="16"/>
  <c r="H76" i="16"/>
  <c r="I76" i="16" s="1"/>
  <c r="E76" i="16"/>
  <c r="F76" i="16" s="1"/>
  <c r="K75" i="16"/>
  <c r="J75" i="16"/>
  <c r="H75" i="16"/>
  <c r="I75" i="16" s="1"/>
  <c r="E75" i="16"/>
  <c r="F75" i="16" s="1"/>
  <c r="K74" i="16"/>
  <c r="J74" i="16"/>
  <c r="H74" i="16"/>
  <c r="I74" i="16" s="1"/>
  <c r="E74" i="16"/>
  <c r="F74" i="16" s="1"/>
  <c r="K73" i="16"/>
  <c r="J73" i="16"/>
  <c r="H73" i="16"/>
  <c r="I73" i="16" s="1"/>
  <c r="E73" i="16"/>
  <c r="F73" i="16" s="1"/>
  <c r="K72" i="16"/>
  <c r="J72" i="16"/>
  <c r="H72" i="16"/>
  <c r="I72" i="16" s="1"/>
  <c r="E72" i="16"/>
  <c r="F72" i="16" s="1"/>
  <c r="K71" i="16"/>
  <c r="J71" i="16"/>
  <c r="H71" i="16"/>
  <c r="I71" i="16" s="1"/>
  <c r="E71" i="16"/>
  <c r="F71" i="16" s="1"/>
  <c r="K70" i="16"/>
  <c r="J70" i="16"/>
  <c r="H70" i="16"/>
  <c r="I70" i="16" s="1"/>
  <c r="E70" i="16"/>
  <c r="F70" i="16" s="1"/>
  <c r="K69" i="16"/>
  <c r="J69" i="16"/>
  <c r="H69" i="16"/>
  <c r="I69" i="16" s="1"/>
  <c r="E69" i="16"/>
  <c r="F69" i="16" s="1"/>
  <c r="K68" i="16"/>
  <c r="J68" i="16"/>
  <c r="H68" i="16"/>
  <c r="I68" i="16" s="1"/>
  <c r="E68" i="16"/>
  <c r="F68" i="16" s="1"/>
  <c r="K67" i="16"/>
  <c r="J67" i="16"/>
  <c r="H67" i="16"/>
  <c r="I67" i="16" s="1"/>
  <c r="E67" i="16"/>
  <c r="F67" i="16" s="1"/>
  <c r="K66" i="16"/>
  <c r="J66" i="16"/>
  <c r="H66" i="16"/>
  <c r="I66" i="16" s="1"/>
  <c r="E66" i="16"/>
  <c r="F66" i="16" s="1"/>
  <c r="K65" i="16"/>
  <c r="J65" i="16"/>
  <c r="H65" i="16"/>
  <c r="I65" i="16" s="1"/>
  <c r="E65" i="16"/>
  <c r="F65" i="16" s="1"/>
  <c r="K64" i="16"/>
  <c r="J64" i="16"/>
  <c r="H64" i="16"/>
  <c r="I64" i="16" s="1"/>
  <c r="E64" i="16"/>
  <c r="F64" i="16" s="1"/>
  <c r="K63" i="16"/>
  <c r="J63" i="16"/>
  <c r="H63" i="16"/>
  <c r="I63" i="16" s="1"/>
  <c r="E63" i="16"/>
  <c r="F63" i="16" s="1"/>
  <c r="K62" i="16"/>
  <c r="J62" i="16"/>
  <c r="H62" i="16"/>
  <c r="I62" i="16" s="1"/>
  <c r="E62" i="16"/>
  <c r="F62" i="16" s="1"/>
  <c r="K61" i="16"/>
  <c r="J61" i="16"/>
  <c r="H61" i="16"/>
  <c r="I61" i="16" s="1"/>
  <c r="E61" i="16"/>
  <c r="F61" i="16" s="1"/>
  <c r="K60" i="16"/>
  <c r="J60" i="16"/>
  <c r="H60" i="16"/>
  <c r="I60" i="16" s="1"/>
  <c r="E60" i="16"/>
  <c r="F60" i="16" s="1"/>
  <c r="K59" i="16"/>
  <c r="J59" i="16"/>
  <c r="H59" i="16"/>
  <c r="I59" i="16" s="1"/>
  <c r="E59" i="16"/>
  <c r="F59" i="16" s="1"/>
  <c r="K58" i="16"/>
  <c r="J58" i="16"/>
  <c r="H58" i="16"/>
  <c r="I58" i="16" s="1"/>
  <c r="E58" i="16"/>
  <c r="F58" i="16" s="1"/>
  <c r="K57" i="16"/>
  <c r="J57" i="16"/>
  <c r="H57" i="16"/>
  <c r="I57" i="16" s="1"/>
  <c r="E57" i="16"/>
  <c r="F57" i="16" s="1"/>
  <c r="K56" i="16"/>
  <c r="J56" i="16"/>
  <c r="H56" i="16"/>
  <c r="I56" i="16" s="1"/>
  <c r="E56" i="16"/>
  <c r="F56" i="16" s="1"/>
  <c r="K55" i="16"/>
  <c r="J55" i="16"/>
  <c r="H55" i="16"/>
  <c r="I55" i="16" s="1"/>
  <c r="E55" i="16"/>
  <c r="F55" i="16" s="1"/>
  <c r="K54" i="16"/>
  <c r="J54" i="16"/>
  <c r="H54" i="16"/>
  <c r="I54" i="16" s="1"/>
  <c r="E54" i="16"/>
  <c r="F54" i="16" s="1"/>
  <c r="K53" i="16"/>
  <c r="J53" i="16"/>
  <c r="H53" i="16"/>
  <c r="I53" i="16" s="1"/>
  <c r="E53" i="16"/>
  <c r="F53" i="16" s="1"/>
  <c r="K52" i="16"/>
  <c r="J52" i="16"/>
  <c r="H52" i="16"/>
  <c r="I52" i="16" s="1"/>
  <c r="E52" i="16"/>
  <c r="F52" i="16" s="1"/>
  <c r="K51" i="16"/>
  <c r="J51" i="16"/>
  <c r="H51" i="16"/>
  <c r="E51" i="16"/>
  <c r="F51" i="16" s="1"/>
  <c r="K50" i="16"/>
  <c r="J50" i="16"/>
  <c r="H50" i="16"/>
  <c r="I50" i="16" s="1"/>
  <c r="E50" i="16"/>
  <c r="F50" i="16" s="1"/>
  <c r="K49" i="16"/>
  <c r="J49" i="16"/>
  <c r="H49" i="16"/>
  <c r="I49" i="16" s="1"/>
  <c r="E49" i="16"/>
  <c r="F49" i="16" s="1"/>
  <c r="K48" i="16"/>
  <c r="J48" i="16"/>
  <c r="H48" i="16"/>
  <c r="I48" i="16" s="1"/>
  <c r="E48" i="16"/>
  <c r="F48" i="16" s="1"/>
  <c r="K47" i="16"/>
  <c r="J47" i="16"/>
  <c r="H47" i="16"/>
  <c r="I47" i="16" s="1"/>
  <c r="E47" i="16"/>
  <c r="F47" i="16" s="1"/>
  <c r="K46" i="16"/>
  <c r="J46" i="16"/>
  <c r="H46" i="16"/>
  <c r="I46" i="16" s="1"/>
  <c r="E46" i="16"/>
  <c r="F46" i="16" s="1"/>
  <c r="K45" i="16"/>
  <c r="H45" i="16"/>
  <c r="I45" i="16" s="1"/>
  <c r="E45" i="16"/>
  <c r="F45" i="16" s="1"/>
  <c r="K44" i="16"/>
  <c r="H44" i="16"/>
  <c r="I44" i="16" s="1"/>
  <c r="E44" i="16"/>
  <c r="F44" i="16" s="1"/>
  <c r="K43" i="16"/>
  <c r="H43" i="16"/>
  <c r="I43" i="16" s="1"/>
  <c r="E43" i="16"/>
  <c r="F43" i="16" s="1"/>
  <c r="K42" i="16"/>
  <c r="H42" i="16"/>
  <c r="I42" i="16" s="1"/>
  <c r="E42" i="16"/>
  <c r="F42" i="16" s="1"/>
  <c r="K41" i="16"/>
  <c r="H41" i="16"/>
  <c r="I41" i="16" s="1"/>
  <c r="E41" i="16"/>
  <c r="F41" i="16" s="1"/>
  <c r="K40" i="16"/>
  <c r="H40" i="16"/>
  <c r="I40" i="16" s="1"/>
  <c r="E40" i="16"/>
  <c r="F40" i="16" s="1"/>
  <c r="K39" i="16"/>
  <c r="H39" i="16"/>
  <c r="I39" i="16" s="1"/>
  <c r="E39" i="16"/>
  <c r="F39" i="16" s="1"/>
  <c r="H38" i="16"/>
  <c r="I38" i="16" s="1"/>
  <c r="E38" i="16"/>
  <c r="F38" i="16" s="1"/>
  <c r="K37" i="16"/>
  <c r="H37" i="16"/>
  <c r="I37" i="16" s="1"/>
  <c r="E37" i="16"/>
  <c r="F37" i="16" s="1"/>
  <c r="K36" i="16"/>
  <c r="H36" i="16"/>
  <c r="I36" i="16" s="1"/>
  <c r="E36" i="16"/>
  <c r="F36" i="16" s="1"/>
  <c r="K35" i="16"/>
  <c r="H35" i="16"/>
  <c r="I35" i="16" s="1"/>
  <c r="E35" i="16"/>
  <c r="F35" i="16" s="1"/>
  <c r="K34" i="16"/>
  <c r="H34" i="16"/>
  <c r="I34" i="16" s="1"/>
  <c r="E34" i="16"/>
  <c r="F34" i="16" s="1"/>
  <c r="K33" i="16"/>
  <c r="H33" i="16"/>
  <c r="I33" i="16" s="1"/>
  <c r="E33" i="16"/>
  <c r="F33" i="16" s="1"/>
  <c r="K32" i="16"/>
  <c r="H32" i="16"/>
  <c r="I32" i="16" s="1"/>
  <c r="E32" i="16"/>
  <c r="F32" i="16" s="1"/>
  <c r="K31" i="16"/>
  <c r="H31" i="16"/>
  <c r="I31" i="16" s="1"/>
  <c r="E31" i="16"/>
  <c r="F31" i="16" s="1"/>
  <c r="K30" i="16"/>
  <c r="H30" i="16"/>
  <c r="I30" i="16" s="1"/>
  <c r="E30" i="16"/>
  <c r="F30" i="16" s="1"/>
  <c r="K29" i="16"/>
  <c r="H29" i="16"/>
  <c r="I29" i="16" s="1"/>
  <c r="E29" i="16"/>
  <c r="F29" i="16" s="1"/>
  <c r="K28" i="16"/>
  <c r="H28" i="16"/>
  <c r="I28" i="16" s="1"/>
  <c r="E28" i="16"/>
  <c r="F28" i="16" s="1"/>
  <c r="K27" i="16"/>
  <c r="H27" i="16"/>
  <c r="I27" i="16" s="1"/>
  <c r="E27" i="16"/>
  <c r="F27" i="16" s="1"/>
  <c r="H26" i="16"/>
  <c r="I26" i="16" s="1"/>
  <c r="E26" i="16"/>
  <c r="F26" i="16" s="1"/>
  <c r="K25" i="16"/>
  <c r="H25" i="16"/>
  <c r="I25" i="16" s="1"/>
  <c r="E25" i="16"/>
  <c r="F25" i="16" s="1"/>
  <c r="K24" i="16"/>
  <c r="H24" i="16"/>
  <c r="I24" i="16" s="1"/>
  <c r="E24" i="16"/>
  <c r="F24" i="16" s="1"/>
  <c r="K23" i="16"/>
  <c r="H23" i="16"/>
  <c r="I23" i="16" s="1"/>
  <c r="E23" i="16"/>
  <c r="F23" i="16" s="1"/>
  <c r="K22" i="16"/>
  <c r="H22" i="16"/>
  <c r="I22" i="16" s="1"/>
  <c r="E22" i="16"/>
  <c r="F22" i="16" s="1"/>
  <c r="K21" i="16"/>
  <c r="H21" i="16"/>
  <c r="I21" i="16" s="1"/>
  <c r="E21" i="16"/>
  <c r="F21" i="16" s="1"/>
  <c r="K20" i="16"/>
  <c r="H20" i="16"/>
  <c r="I20" i="16" s="1"/>
  <c r="E20" i="16"/>
  <c r="F20" i="16" s="1"/>
  <c r="K19" i="16"/>
  <c r="H19" i="16"/>
  <c r="I19" i="16" s="1"/>
  <c r="E19" i="16"/>
  <c r="F19" i="16" s="1"/>
  <c r="H2" i="16"/>
  <c r="E2" i="16"/>
  <c r="C2" i="16"/>
  <c r="B2" i="16"/>
  <c r="A2" i="16"/>
  <c r="H11" i="16"/>
  <c r="E11" i="16"/>
  <c r="C11" i="16"/>
  <c r="B11" i="16"/>
  <c r="A11" i="16"/>
  <c r="H15" i="16"/>
  <c r="E15" i="16"/>
  <c r="C15" i="16"/>
  <c r="B15" i="16"/>
  <c r="A15" i="16"/>
  <c r="H5" i="16"/>
  <c r="E5" i="16"/>
  <c r="C5" i="16"/>
  <c r="B5" i="16"/>
  <c r="A5" i="16"/>
  <c r="H14" i="16"/>
  <c r="E14" i="16"/>
  <c r="C14" i="16"/>
  <c r="B14" i="16"/>
  <c r="A14" i="16"/>
  <c r="H3" i="16"/>
  <c r="E3" i="16"/>
  <c r="C3" i="16"/>
  <c r="B3" i="16"/>
  <c r="A3" i="16"/>
  <c r="H7" i="16"/>
  <c r="E7" i="16"/>
  <c r="C7" i="16"/>
  <c r="B7" i="16"/>
  <c r="A7" i="16"/>
  <c r="H6" i="16"/>
  <c r="E6" i="16"/>
  <c r="C6" i="16"/>
  <c r="B6" i="16"/>
  <c r="A6" i="16"/>
  <c r="H4" i="16"/>
  <c r="E4" i="16"/>
  <c r="C4" i="16"/>
  <c r="B4" i="16"/>
  <c r="A4" i="16"/>
  <c r="H10" i="16"/>
  <c r="E10" i="16"/>
  <c r="C10" i="16"/>
  <c r="B10" i="16"/>
  <c r="A10" i="16"/>
  <c r="H16" i="16"/>
  <c r="E16" i="16"/>
  <c r="C16" i="16"/>
  <c r="B16" i="16"/>
  <c r="A16" i="16"/>
  <c r="H9" i="16"/>
  <c r="E9" i="16"/>
  <c r="B9" i="16"/>
  <c r="A9" i="16"/>
  <c r="H12" i="16"/>
  <c r="E12" i="16"/>
  <c r="B12" i="16"/>
  <c r="A12" i="16"/>
  <c r="H18" i="16"/>
  <c r="I18" i="16" s="1"/>
  <c r="E18" i="16"/>
  <c r="F18" i="16" s="1"/>
  <c r="B18" i="16"/>
  <c r="A18" i="16"/>
  <c r="H17" i="16"/>
  <c r="E17" i="16"/>
  <c r="F17" i="16" s="1"/>
  <c r="C17" i="16"/>
  <c r="B17" i="16"/>
  <c r="A17" i="16"/>
  <c r="H13" i="16"/>
  <c r="E13" i="16"/>
  <c r="C13" i="16"/>
  <c r="B13" i="16"/>
  <c r="A13" i="16"/>
  <c r="H8" i="16"/>
  <c r="E8" i="16"/>
  <c r="C8" i="16"/>
  <c r="B8" i="16"/>
  <c r="A8" i="16"/>
  <c r="J100" i="15"/>
  <c r="K100" i="15" s="1"/>
  <c r="H100" i="15"/>
  <c r="I100" i="15" s="1"/>
  <c r="E100" i="15"/>
  <c r="F100" i="15" s="1"/>
  <c r="J99" i="15"/>
  <c r="K99" i="15" s="1"/>
  <c r="H99" i="15"/>
  <c r="I99" i="15" s="1"/>
  <c r="E99" i="15"/>
  <c r="F99" i="15" s="1"/>
  <c r="J98" i="15"/>
  <c r="K98" i="15" s="1"/>
  <c r="H98" i="15"/>
  <c r="I98" i="15" s="1"/>
  <c r="E98" i="15"/>
  <c r="F98" i="15" s="1"/>
  <c r="J97" i="15"/>
  <c r="K97" i="15" s="1"/>
  <c r="H97" i="15"/>
  <c r="I97" i="15" s="1"/>
  <c r="E97" i="15"/>
  <c r="F97" i="15" s="1"/>
  <c r="J96" i="15"/>
  <c r="K96" i="15" s="1"/>
  <c r="H96" i="15"/>
  <c r="I96" i="15" s="1"/>
  <c r="E96" i="15"/>
  <c r="F96" i="15" s="1"/>
  <c r="J95" i="15"/>
  <c r="K95" i="15" s="1"/>
  <c r="H95" i="15"/>
  <c r="I95" i="15" s="1"/>
  <c r="E95" i="15"/>
  <c r="F95" i="15" s="1"/>
  <c r="J94" i="15"/>
  <c r="K94" i="15" s="1"/>
  <c r="H94" i="15"/>
  <c r="I94" i="15" s="1"/>
  <c r="E94" i="15"/>
  <c r="F94" i="15" s="1"/>
  <c r="J93" i="15"/>
  <c r="K93" i="15" s="1"/>
  <c r="H93" i="15"/>
  <c r="I93" i="15" s="1"/>
  <c r="E93" i="15"/>
  <c r="F93" i="15" s="1"/>
  <c r="J92" i="15"/>
  <c r="K92" i="15" s="1"/>
  <c r="H92" i="15"/>
  <c r="I92" i="15" s="1"/>
  <c r="E92" i="15"/>
  <c r="F92" i="15" s="1"/>
  <c r="J91" i="15"/>
  <c r="K91" i="15" s="1"/>
  <c r="H91" i="15"/>
  <c r="I91" i="15" s="1"/>
  <c r="E91" i="15"/>
  <c r="F91" i="15" s="1"/>
  <c r="J90" i="15"/>
  <c r="K90" i="15" s="1"/>
  <c r="H90" i="15"/>
  <c r="I90" i="15" s="1"/>
  <c r="E90" i="15"/>
  <c r="F90" i="15" s="1"/>
  <c r="J89" i="15"/>
  <c r="K89" i="15" s="1"/>
  <c r="H89" i="15"/>
  <c r="I89" i="15" s="1"/>
  <c r="E89" i="15"/>
  <c r="F89" i="15" s="1"/>
  <c r="J88" i="15"/>
  <c r="K88" i="15" s="1"/>
  <c r="H88" i="15"/>
  <c r="I88" i="15" s="1"/>
  <c r="E88" i="15"/>
  <c r="F88" i="15" s="1"/>
  <c r="J87" i="15"/>
  <c r="K87" i="15" s="1"/>
  <c r="H87" i="15"/>
  <c r="I87" i="15" s="1"/>
  <c r="E87" i="15"/>
  <c r="F87" i="15" s="1"/>
  <c r="J86" i="15"/>
  <c r="K86" i="15" s="1"/>
  <c r="H86" i="15"/>
  <c r="I86" i="15" s="1"/>
  <c r="E86" i="15"/>
  <c r="F86" i="15" s="1"/>
  <c r="J85" i="15"/>
  <c r="K85" i="15" s="1"/>
  <c r="H85" i="15"/>
  <c r="I85" i="15" s="1"/>
  <c r="E85" i="15"/>
  <c r="F85" i="15" s="1"/>
  <c r="J84" i="15"/>
  <c r="K84" i="15" s="1"/>
  <c r="H84" i="15"/>
  <c r="I84" i="15" s="1"/>
  <c r="E84" i="15"/>
  <c r="F84" i="15" s="1"/>
  <c r="J83" i="15"/>
  <c r="K83" i="15" s="1"/>
  <c r="H83" i="15"/>
  <c r="I83" i="15" s="1"/>
  <c r="E83" i="15"/>
  <c r="F83" i="15" s="1"/>
  <c r="J82" i="15"/>
  <c r="K82" i="15" s="1"/>
  <c r="H82" i="15"/>
  <c r="I82" i="15" s="1"/>
  <c r="E82" i="15"/>
  <c r="F82" i="15" s="1"/>
  <c r="J81" i="15"/>
  <c r="K81" i="15" s="1"/>
  <c r="H81" i="15"/>
  <c r="I81" i="15" s="1"/>
  <c r="E81" i="15"/>
  <c r="F81" i="15" s="1"/>
  <c r="J80" i="15"/>
  <c r="K80" i="15" s="1"/>
  <c r="H80" i="15"/>
  <c r="I80" i="15" s="1"/>
  <c r="E80" i="15"/>
  <c r="F80" i="15" s="1"/>
  <c r="J79" i="15"/>
  <c r="K79" i="15" s="1"/>
  <c r="H79" i="15"/>
  <c r="I79" i="15" s="1"/>
  <c r="E79" i="15"/>
  <c r="F79" i="15" s="1"/>
  <c r="J78" i="15"/>
  <c r="K78" i="15" s="1"/>
  <c r="H78" i="15"/>
  <c r="I78" i="15" s="1"/>
  <c r="E78" i="15"/>
  <c r="F78" i="15" s="1"/>
  <c r="J77" i="15"/>
  <c r="K77" i="15" s="1"/>
  <c r="H77" i="15"/>
  <c r="I77" i="15" s="1"/>
  <c r="E77" i="15"/>
  <c r="F77" i="15" s="1"/>
  <c r="J76" i="15"/>
  <c r="K76" i="15" s="1"/>
  <c r="H76" i="15"/>
  <c r="I76" i="15" s="1"/>
  <c r="E76" i="15"/>
  <c r="F76" i="15" s="1"/>
  <c r="J75" i="15"/>
  <c r="K75" i="15" s="1"/>
  <c r="H75" i="15"/>
  <c r="I75" i="15" s="1"/>
  <c r="E75" i="15"/>
  <c r="F75" i="15" s="1"/>
  <c r="J74" i="15"/>
  <c r="K74" i="15" s="1"/>
  <c r="H74" i="15"/>
  <c r="I74" i="15" s="1"/>
  <c r="E74" i="15"/>
  <c r="F74" i="15" s="1"/>
  <c r="J73" i="15"/>
  <c r="K73" i="15" s="1"/>
  <c r="H73" i="15"/>
  <c r="I73" i="15" s="1"/>
  <c r="E73" i="15"/>
  <c r="F73" i="15" s="1"/>
  <c r="J72" i="15"/>
  <c r="K72" i="15" s="1"/>
  <c r="H72" i="15"/>
  <c r="I72" i="15" s="1"/>
  <c r="E72" i="15"/>
  <c r="F72" i="15" s="1"/>
  <c r="J71" i="15"/>
  <c r="K71" i="15" s="1"/>
  <c r="H71" i="15"/>
  <c r="I71" i="15" s="1"/>
  <c r="E71" i="15"/>
  <c r="F71" i="15" s="1"/>
  <c r="J70" i="15"/>
  <c r="K70" i="15" s="1"/>
  <c r="H70" i="15"/>
  <c r="I70" i="15" s="1"/>
  <c r="E70" i="15"/>
  <c r="F70" i="15" s="1"/>
  <c r="J69" i="15"/>
  <c r="K69" i="15" s="1"/>
  <c r="H69" i="15"/>
  <c r="I69" i="15" s="1"/>
  <c r="E69" i="15"/>
  <c r="F69" i="15" s="1"/>
  <c r="K68" i="15"/>
  <c r="J68" i="15"/>
  <c r="H68" i="15"/>
  <c r="I68" i="15" s="1"/>
  <c r="E68" i="15"/>
  <c r="F68" i="15" s="1"/>
  <c r="J67" i="15"/>
  <c r="K67" i="15" s="1"/>
  <c r="H67" i="15"/>
  <c r="I67" i="15" s="1"/>
  <c r="E67" i="15"/>
  <c r="F67" i="15" s="1"/>
  <c r="J66" i="15"/>
  <c r="K66" i="15" s="1"/>
  <c r="H66" i="15"/>
  <c r="I66" i="15" s="1"/>
  <c r="E66" i="15"/>
  <c r="F66" i="15" s="1"/>
  <c r="J65" i="15"/>
  <c r="K65" i="15" s="1"/>
  <c r="H65" i="15"/>
  <c r="I65" i="15" s="1"/>
  <c r="E65" i="15"/>
  <c r="F65" i="15" s="1"/>
  <c r="K64" i="15"/>
  <c r="J64" i="15"/>
  <c r="H64" i="15"/>
  <c r="I64" i="15" s="1"/>
  <c r="E64" i="15"/>
  <c r="F64" i="15" s="1"/>
  <c r="J63" i="15"/>
  <c r="K63" i="15" s="1"/>
  <c r="H63" i="15"/>
  <c r="I63" i="15" s="1"/>
  <c r="E63" i="15"/>
  <c r="F63" i="15" s="1"/>
  <c r="J62" i="15"/>
  <c r="K62" i="15" s="1"/>
  <c r="H62" i="15"/>
  <c r="I62" i="15" s="1"/>
  <c r="E62" i="15"/>
  <c r="F62" i="15" s="1"/>
  <c r="J61" i="15"/>
  <c r="K61" i="15" s="1"/>
  <c r="H61" i="15"/>
  <c r="I61" i="15" s="1"/>
  <c r="E61" i="15"/>
  <c r="F61" i="15" s="1"/>
  <c r="K60" i="15"/>
  <c r="J60" i="15"/>
  <c r="H60" i="15"/>
  <c r="I60" i="15" s="1"/>
  <c r="E60" i="15"/>
  <c r="F60" i="15" s="1"/>
  <c r="J59" i="15"/>
  <c r="K59" i="15" s="1"/>
  <c r="H59" i="15"/>
  <c r="I59" i="15" s="1"/>
  <c r="E59" i="15"/>
  <c r="F59" i="15" s="1"/>
  <c r="J58" i="15"/>
  <c r="K58" i="15" s="1"/>
  <c r="H58" i="15"/>
  <c r="I58" i="15" s="1"/>
  <c r="E58" i="15"/>
  <c r="F58" i="15" s="1"/>
  <c r="J57" i="15"/>
  <c r="K57" i="15" s="1"/>
  <c r="H57" i="15"/>
  <c r="I57" i="15" s="1"/>
  <c r="E57" i="15"/>
  <c r="F57" i="15" s="1"/>
  <c r="K56" i="15"/>
  <c r="J56" i="15"/>
  <c r="H56" i="15"/>
  <c r="I56" i="15" s="1"/>
  <c r="E56" i="15"/>
  <c r="F56" i="15" s="1"/>
  <c r="J55" i="15"/>
  <c r="K55" i="15" s="1"/>
  <c r="H55" i="15"/>
  <c r="I55" i="15" s="1"/>
  <c r="E55" i="15"/>
  <c r="F55" i="15" s="1"/>
  <c r="J54" i="15"/>
  <c r="K54" i="15" s="1"/>
  <c r="H54" i="15"/>
  <c r="I54" i="15" s="1"/>
  <c r="E54" i="15"/>
  <c r="F54" i="15" s="1"/>
  <c r="J53" i="15"/>
  <c r="K53" i="15" s="1"/>
  <c r="H53" i="15"/>
  <c r="I53" i="15" s="1"/>
  <c r="E53" i="15"/>
  <c r="F53" i="15" s="1"/>
  <c r="K52" i="15"/>
  <c r="J52" i="15"/>
  <c r="H52" i="15"/>
  <c r="I52" i="15" s="1"/>
  <c r="E52" i="15"/>
  <c r="F52" i="15" s="1"/>
  <c r="J51" i="15"/>
  <c r="K51" i="15" s="1"/>
  <c r="H51" i="15"/>
  <c r="I51" i="15" s="1"/>
  <c r="E51" i="15"/>
  <c r="F51" i="15" s="1"/>
  <c r="K50" i="15"/>
  <c r="J50" i="15"/>
  <c r="H50" i="15"/>
  <c r="I50" i="15" s="1"/>
  <c r="E50" i="15"/>
  <c r="F50" i="15" s="1"/>
  <c r="J49" i="15"/>
  <c r="K49" i="15" s="1"/>
  <c r="H49" i="15"/>
  <c r="I49" i="15" s="1"/>
  <c r="E49" i="15"/>
  <c r="F49" i="15" s="1"/>
  <c r="J48" i="15"/>
  <c r="K48" i="15" s="1"/>
  <c r="H48" i="15"/>
  <c r="I48" i="15" s="1"/>
  <c r="E48" i="15"/>
  <c r="F48" i="15" s="1"/>
  <c r="J47" i="15"/>
  <c r="K47" i="15" s="1"/>
  <c r="H47" i="15"/>
  <c r="I47" i="15" s="1"/>
  <c r="E47" i="15"/>
  <c r="F47" i="15" s="1"/>
  <c r="J46" i="15"/>
  <c r="K46" i="15" s="1"/>
  <c r="H46" i="15"/>
  <c r="I46" i="15" s="1"/>
  <c r="E46" i="15"/>
  <c r="F46" i="15" s="1"/>
  <c r="J45" i="15"/>
  <c r="K45" i="15" s="1"/>
  <c r="H45" i="15"/>
  <c r="I45" i="15" s="1"/>
  <c r="E45" i="15"/>
  <c r="F45" i="15" s="1"/>
  <c r="K44" i="15"/>
  <c r="J44" i="15"/>
  <c r="H44" i="15"/>
  <c r="I44" i="15" s="1"/>
  <c r="E44" i="15"/>
  <c r="F44" i="15" s="1"/>
  <c r="J43" i="15"/>
  <c r="K43" i="15" s="1"/>
  <c r="H43" i="15"/>
  <c r="I43" i="15" s="1"/>
  <c r="E43" i="15"/>
  <c r="F43" i="15" s="1"/>
  <c r="K42" i="15"/>
  <c r="J42" i="15"/>
  <c r="H42" i="15"/>
  <c r="I42" i="15" s="1"/>
  <c r="E42" i="15"/>
  <c r="F42" i="15" s="1"/>
  <c r="J41" i="15"/>
  <c r="K41" i="15" s="1"/>
  <c r="H41" i="15"/>
  <c r="I41" i="15" s="1"/>
  <c r="E41" i="15"/>
  <c r="F41" i="15" s="1"/>
  <c r="J40" i="15"/>
  <c r="K40" i="15" s="1"/>
  <c r="H40" i="15"/>
  <c r="I40" i="15" s="1"/>
  <c r="E40" i="15"/>
  <c r="F40" i="15" s="1"/>
  <c r="J39" i="15"/>
  <c r="K39" i="15" s="1"/>
  <c r="H39" i="15"/>
  <c r="I39" i="15" s="1"/>
  <c r="E39" i="15"/>
  <c r="F39" i="15" s="1"/>
  <c r="K38" i="15"/>
  <c r="J38" i="15"/>
  <c r="H38" i="15"/>
  <c r="I38" i="15" s="1"/>
  <c r="E38" i="15"/>
  <c r="F38" i="15" s="1"/>
  <c r="J37" i="15"/>
  <c r="K37" i="15" s="1"/>
  <c r="H37" i="15"/>
  <c r="I37" i="15" s="1"/>
  <c r="E37" i="15"/>
  <c r="F37" i="15" s="1"/>
  <c r="J36" i="15"/>
  <c r="K36" i="15" s="1"/>
  <c r="H36" i="15"/>
  <c r="I36" i="15" s="1"/>
  <c r="E36" i="15"/>
  <c r="F36" i="15" s="1"/>
  <c r="J35" i="15"/>
  <c r="K35" i="15" s="1"/>
  <c r="H35" i="15"/>
  <c r="I35" i="15" s="1"/>
  <c r="E35" i="15"/>
  <c r="F35" i="15" s="1"/>
  <c r="J34" i="15"/>
  <c r="K34" i="15" s="1"/>
  <c r="H34" i="15"/>
  <c r="I34" i="15" s="1"/>
  <c r="E34" i="15"/>
  <c r="F34" i="15" s="1"/>
  <c r="J33" i="15"/>
  <c r="K33" i="15" s="1"/>
  <c r="H33" i="15"/>
  <c r="I33" i="15" s="1"/>
  <c r="E33" i="15"/>
  <c r="F33" i="15" s="1"/>
  <c r="K32" i="15"/>
  <c r="J32" i="15"/>
  <c r="H32" i="15"/>
  <c r="I32" i="15" s="1"/>
  <c r="E32" i="15"/>
  <c r="F32" i="15" s="1"/>
  <c r="J31" i="15"/>
  <c r="K31" i="15" s="1"/>
  <c r="H31" i="15"/>
  <c r="I31" i="15" s="1"/>
  <c r="E31" i="15"/>
  <c r="F31" i="15" s="1"/>
  <c r="K30" i="15"/>
  <c r="H30" i="15"/>
  <c r="I30" i="15" s="1"/>
  <c r="E30" i="15"/>
  <c r="F30" i="15" s="1"/>
  <c r="K29" i="15"/>
  <c r="H29" i="15"/>
  <c r="I29" i="15" s="1"/>
  <c r="E29" i="15"/>
  <c r="F29" i="15" s="1"/>
  <c r="K28" i="15"/>
  <c r="H28" i="15"/>
  <c r="I28" i="15" s="1"/>
  <c r="E28" i="15"/>
  <c r="F28" i="15" s="1"/>
  <c r="K27" i="15"/>
  <c r="H27" i="15"/>
  <c r="I27" i="15" s="1"/>
  <c r="E27" i="15"/>
  <c r="F27" i="15" s="1"/>
  <c r="K26" i="15"/>
  <c r="H26" i="15"/>
  <c r="I26" i="15" s="1"/>
  <c r="E26" i="15"/>
  <c r="F26" i="15" s="1"/>
  <c r="K25" i="15"/>
  <c r="H25" i="15"/>
  <c r="I25" i="15" s="1"/>
  <c r="E25" i="15"/>
  <c r="F25" i="15" s="1"/>
  <c r="H24" i="15"/>
  <c r="I24" i="15" s="1"/>
  <c r="E24" i="15"/>
  <c r="F24" i="15" s="1"/>
  <c r="K23" i="15"/>
  <c r="H23" i="15"/>
  <c r="I23" i="15" s="1"/>
  <c r="E23" i="15"/>
  <c r="F23" i="15" s="1"/>
  <c r="H22" i="15"/>
  <c r="I22" i="15" s="1"/>
  <c r="E22" i="15"/>
  <c r="F22" i="15" s="1"/>
  <c r="K21" i="15"/>
  <c r="H21" i="15"/>
  <c r="I21" i="15" s="1"/>
  <c r="E21" i="15"/>
  <c r="F21" i="15" s="1"/>
  <c r="K20" i="15"/>
  <c r="H20" i="15"/>
  <c r="I20" i="15" s="1"/>
  <c r="E20" i="15"/>
  <c r="F20" i="15" s="1"/>
  <c r="K19" i="15"/>
  <c r="H19" i="15"/>
  <c r="I19" i="15" s="1"/>
  <c r="E19" i="15"/>
  <c r="F19" i="15" s="1"/>
  <c r="K18" i="15"/>
  <c r="H18" i="15"/>
  <c r="I18" i="15" s="1"/>
  <c r="E18" i="15"/>
  <c r="F18" i="15" s="1"/>
  <c r="K17" i="15"/>
  <c r="H17" i="15"/>
  <c r="I17" i="15" s="1"/>
  <c r="E17" i="15"/>
  <c r="F17" i="15" s="1"/>
  <c r="K16" i="15"/>
  <c r="H16" i="15"/>
  <c r="I16" i="15" s="1"/>
  <c r="E16" i="15"/>
  <c r="F16" i="15" s="1"/>
  <c r="K15" i="15"/>
  <c r="H15" i="15"/>
  <c r="I15" i="15" s="1"/>
  <c r="E15" i="15"/>
  <c r="F15" i="15" s="1"/>
  <c r="H7" i="15"/>
  <c r="E7" i="15"/>
  <c r="C7" i="15"/>
  <c r="B7" i="15"/>
  <c r="A7" i="15"/>
  <c r="H6" i="15"/>
  <c r="E6" i="15"/>
  <c r="C6" i="15"/>
  <c r="B6" i="15"/>
  <c r="A6" i="15"/>
  <c r="H13" i="15"/>
  <c r="E13" i="15"/>
  <c r="C13" i="15"/>
  <c r="B13" i="15"/>
  <c r="A13" i="15"/>
  <c r="H12" i="15"/>
  <c r="E12" i="15"/>
  <c r="B12" i="15"/>
  <c r="A12" i="15"/>
  <c r="H3" i="15"/>
  <c r="E3" i="15"/>
  <c r="C3" i="15"/>
  <c r="B3" i="15"/>
  <c r="A3" i="15"/>
  <c r="H5" i="15"/>
  <c r="E5" i="15"/>
  <c r="C5" i="15"/>
  <c r="B5" i="15"/>
  <c r="A5" i="15"/>
  <c r="H8" i="15"/>
  <c r="E8" i="15"/>
  <c r="C8" i="15"/>
  <c r="B8" i="15"/>
  <c r="A8" i="15"/>
  <c r="H14" i="15"/>
  <c r="E14" i="15"/>
  <c r="C14" i="15"/>
  <c r="B14" i="15"/>
  <c r="A14" i="15"/>
  <c r="H11" i="15"/>
  <c r="E11" i="15"/>
  <c r="C11" i="15"/>
  <c r="B11" i="15"/>
  <c r="A11" i="15"/>
  <c r="H4" i="15"/>
  <c r="E4" i="15"/>
  <c r="C4" i="15"/>
  <c r="B4" i="15"/>
  <c r="A4" i="15"/>
  <c r="H9" i="15"/>
  <c r="E9" i="15"/>
  <c r="C9" i="15"/>
  <c r="B9" i="15"/>
  <c r="A9" i="15"/>
  <c r="H2" i="15"/>
  <c r="E2" i="15"/>
  <c r="C2" i="15"/>
  <c r="B2" i="15"/>
  <c r="A2" i="15"/>
  <c r="H10" i="15"/>
  <c r="E10" i="15"/>
  <c r="C10" i="15"/>
  <c r="B10" i="15"/>
  <c r="A10" i="15"/>
  <c r="J99" i="14"/>
  <c r="K99" i="14" s="1"/>
  <c r="H99" i="14"/>
  <c r="I99" i="14" s="1"/>
  <c r="E99" i="14"/>
  <c r="F99" i="14" s="1"/>
  <c r="J98" i="14"/>
  <c r="K98" i="14" s="1"/>
  <c r="H98" i="14"/>
  <c r="I98" i="14" s="1"/>
  <c r="E98" i="14"/>
  <c r="F98" i="14" s="1"/>
  <c r="J97" i="14"/>
  <c r="K97" i="14" s="1"/>
  <c r="H97" i="14"/>
  <c r="I97" i="14" s="1"/>
  <c r="E97" i="14"/>
  <c r="F97" i="14" s="1"/>
  <c r="J96" i="14"/>
  <c r="K96" i="14" s="1"/>
  <c r="H96" i="14"/>
  <c r="I96" i="14" s="1"/>
  <c r="E96" i="14"/>
  <c r="F96" i="14" s="1"/>
  <c r="J95" i="14"/>
  <c r="K95" i="14" s="1"/>
  <c r="H95" i="14"/>
  <c r="I95" i="14" s="1"/>
  <c r="E95" i="14"/>
  <c r="F95" i="14" s="1"/>
  <c r="J94" i="14"/>
  <c r="K94" i="14" s="1"/>
  <c r="H94" i="14"/>
  <c r="I94" i="14" s="1"/>
  <c r="E94" i="14"/>
  <c r="F94" i="14" s="1"/>
  <c r="J93" i="14"/>
  <c r="K93" i="14" s="1"/>
  <c r="H93" i="14"/>
  <c r="I93" i="14" s="1"/>
  <c r="E93" i="14"/>
  <c r="F93" i="14" s="1"/>
  <c r="J92" i="14"/>
  <c r="K92" i="14" s="1"/>
  <c r="H92" i="14"/>
  <c r="I92" i="14" s="1"/>
  <c r="E92" i="14"/>
  <c r="F92" i="14" s="1"/>
  <c r="J91" i="14"/>
  <c r="K91" i="14" s="1"/>
  <c r="H91" i="14"/>
  <c r="I91" i="14" s="1"/>
  <c r="E91" i="14"/>
  <c r="F91" i="14" s="1"/>
  <c r="J90" i="14"/>
  <c r="K90" i="14" s="1"/>
  <c r="H90" i="14"/>
  <c r="I90" i="14" s="1"/>
  <c r="E90" i="14"/>
  <c r="F90" i="14" s="1"/>
  <c r="J89" i="14"/>
  <c r="K89" i="14" s="1"/>
  <c r="H89" i="14"/>
  <c r="I89" i="14" s="1"/>
  <c r="E89" i="14"/>
  <c r="F89" i="14" s="1"/>
  <c r="J88" i="14"/>
  <c r="K88" i="14" s="1"/>
  <c r="H88" i="14"/>
  <c r="I88" i="14" s="1"/>
  <c r="E88" i="14"/>
  <c r="F88" i="14" s="1"/>
  <c r="K87" i="14"/>
  <c r="J87" i="14"/>
  <c r="H87" i="14"/>
  <c r="I87" i="14" s="1"/>
  <c r="E87" i="14"/>
  <c r="F87" i="14" s="1"/>
  <c r="K86" i="14"/>
  <c r="J86" i="14"/>
  <c r="H86" i="14"/>
  <c r="I86" i="14" s="1"/>
  <c r="E86" i="14"/>
  <c r="F86" i="14" s="1"/>
  <c r="J85" i="14"/>
  <c r="K85" i="14" s="1"/>
  <c r="H85" i="14"/>
  <c r="I85" i="14" s="1"/>
  <c r="E85" i="14"/>
  <c r="F85" i="14" s="1"/>
  <c r="J84" i="14"/>
  <c r="K84" i="14" s="1"/>
  <c r="H84" i="14"/>
  <c r="I84" i="14" s="1"/>
  <c r="E84" i="14"/>
  <c r="F84" i="14" s="1"/>
  <c r="J83" i="14"/>
  <c r="K83" i="14" s="1"/>
  <c r="H83" i="14"/>
  <c r="I83" i="14" s="1"/>
  <c r="E83" i="14"/>
  <c r="F83" i="14" s="1"/>
  <c r="J82" i="14"/>
  <c r="K82" i="14" s="1"/>
  <c r="H82" i="14"/>
  <c r="I82" i="14" s="1"/>
  <c r="E82" i="14"/>
  <c r="F82" i="14" s="1"/>
  <c r="K81" i="14"/>
  <c r="J81" i="14"/>
  <c r="H81" i="14"/>
  <c r="I81" i="14" s="1"/>
  <c r="E81" i="14"/>
  <c r="F81" i="14" s="1"/>
  <c r="J80" i="14"/>
  <c r="K80" i="14" s="1"/>
  <c r="H80" i="14"/>
  <c r="I80" i="14" s="1"/>
  <c r="E80" i="14"/>
  <c r="F80" i="14" s="1"/>
  <c r="J79" i="14"/>
  <c r="K79" i="14" s="1"/>
  <c r="H79" i="14"/>
  <c r="I79" i="14" s="1"/>
  <c r="E79" i="14"/>
  <c r="F79" i="14" s="1"/>
  <c r="J78" i="14"/>
  <c r="K78" i="14" s="1"/>
  <c r="H78" i="14"/>
  <c r="I78" i="14" s="1"/>
  <c r="E78" i="14"/>
  <c r="F78" i="14" s="1"/>
  <c r="J77" i="14"/>
  <c r="K77" i="14" s="1"/>
  <c r="H77" i="14"/>
  <c r="I77" i="14" s="1"/>
  <c r="E77" i="14"/>
  <c r="F77" i="14" s="1"/>
  <c r="J76" i="14"/>
  <c r="K76" i="14" s="1"/>
  <c r="H76" i="14"/>
  <c r="I76" i="14" s="1"/>
  <c r="E76" i="14"/>
  <c r="F76" i="14" s="1"/>
  <c r="K75" i="14"/>
  <c r="J75" i="14"/>
  <c r="H75" i="14"/>
  <c r="I75" i="14" s="1"/>
  <c r="E75" i="14"/>
  <c r="F75" i="14" s="1"/>
  <c r="K74" i="14"/>
  <c r="J74" i="14"/>
  <c r="H74" i="14"/>
  <c r="I74" i="14" s="1"/>
  <c r="E74" i="14"/>
  <c r="F74" i="14" s="1"/>
  <c r="J73" i="14"/>
  <c r="K73" i="14" s="1"/>
  <c r="H73" i="14"/>
  <c r="I73" i="14" s="1"/>
  <c r="E73" i="14"/>
  <c r="F73" i="14" s="1"/>
  <c r="J72" i="14"/>
  <c r="K72" i="14" s="1"/>
  <c r="H72" i="14"/>
  <c r="I72" i="14" s="1"/>
  <c r="E72" i="14"/>
  <c r="F72" i="14" s="1"/>
  <c r="J71" i="14"/>
  <c r="K71" i="14" s="1"/>
  <c r="H71" i="14"/>
  <c r="I71" i="14" s="1"/>
  <c r="E71" i="14"/>
  <c r="F71" i="14" s="1"/>
  <c r="J70" i="14"/>
  <c r="K70" i="14" s="1"/>
  <c r="H70" i="14"/>
  <c r="I70" i="14" s="1"/>
  <c r="E70" i="14"/>
  <c r="F70" i="14" s="1"/>
  <c r="K69" i="14"/>
  <c r="J69" i="14"/>
  <c r="H69" i="14"/>
  <c r="I69" i="14" s="1"/>
  <c r="E69" i="14"/>
  <c r="F69" i="14" s="1"/>
  <c r="J68" i="14"/>
  <c r="K68" i="14" s="1"/>
  <c r="H68" i="14"/>
  <c r="I68" i="14" s="1"/>
  <c r="E68" i="14"/>
  <c r="F68" i="14" s="1"/>
  <c r="J67" i="14"/>
  <c r="K67" i="14" s="1"/>
  <c r="H67" i="14"/>
  <c r="I67" i="14" s="1"/>
  <c r="E67" i="14"/>
  <c r="F67" i="14" s="1"/>
  <c r="J66" i="14"/>
  <c r="K66" i="14" s="1"/>
  <c r="H66" i="14"/>
  <c r="I66" i="14" s="1"/>
  <c r="E66" i="14"/>
  <c r="F66" i="14" s="1"/>
  <c r="J65" i="14"/>
  <c r="K65" i="14" s="1"/>
  <c r="H65" i="14"/>
  <c r="I65" i="14" s="1"/>
  <c r="E65" i="14"/>
  <c r="F65" i="14" s="1"/>
  <c r="J64" i="14"/>
  <c r="K64" i="14" s="1"/>
  <c r="H64" i="14"/>
  <c r="I64" i="14" s="1"/>
  <c r="E64" i="14"/>
  <c r="F64" i="14" s="1"/>
  <c r="J63" i="14"/>
  <c r="K63" i="14" s="1"/>
  <c r="H63" i="14"/>
  <c r="I63" i="14" s="1"/>
  <c r="E63" i="14"/>
  <c r="F63" i="14" s="1"/>
  <c r="J62" i="14"/>
  <c r="K62" i="14" s="1"/>
  <c r="H62" i="14"/>
  <c r="I62" i="14" s="1"/>
  <c r="E62" i="14"/>
  <c r="F62" i="14" s="1"/>
  <c r="J61" i="14"/>
  <c r="K61" i="14" s="1"/>
  <c r="H61" i="14"/>
  <c r="I61" i="14" s="1"/>
  <c r="E61" i="14"/>
  <c r="F61" i="14" s="1"/>
  <c r="J60" i="14"/>
  <c r="K60" i="14" s="1"/>
  <c r="H60" i="14"/>
  <c r="I60" i="14" s="1"/>
  <c r="E60" i="14"/>
  <c r="F60" i="14" s="1"/>
  <c r="J59" i="14"/>
  <c r="K59" i="14" s="1"/>
  <c r="H59" i="14"/>
  <c r="I59" i="14" s="1"/>
  <c r="E59" i="14"/>
  <c r="F59" i="14" s="1"/>
  <c r="J58" i="14"/>
  <c r="K58" i="14" s="1"/>
  <c r="H58" i="14"/>
  <c r="I58" i="14" s="1"/>
  <c r="E58" i="14"/>
  <c r="F58" i="14" s="1"/>
  <c r="K57" i="14"/>
  <c r="J57" i="14"/>
  <c r="H57" i="14"/>
  <c r="I57" i="14" s="1"/>
  <c r="E57" i="14"/>
  <c r="F57" i="14" s="1"/>
  <c r="J56" i="14"/>
  <c r="K56" i="14" s="1"/>
  <c r="H56" i="14"/>
  <c r="I56" i="14" s="1"/>
  <c r="E56" i="14"/>
  <c r="F56" i="14" s="1"/>
  <c r="J55" i="14"/>
  <c r="K55" i="14" s="1"/>
  <c r="H55" i="14"/>
  <c r="I55" i="14" s="1"/>
  <c r="E55" i="14"/>
  <c r="F55" i="14" s="1"/>
  <c r="J54" i="14"/>
  <c r="K54" i="14" s="1"/>
  <c r="H54" i="14"/>
  <c r="I54" i="14" s="1"/>
  <c r="E54" i="14"/>
  <c r="F54" i="14" s="1"/>
  <c r="K53" i="14"/>
  <c r="J53" i="14"/>
  <c r="H53" i="14"/>
  <c r="I53" i="14" s="1"/>
  <c r="E53" i="14"/>
  <c r="F53" i="14" s="1"/>
  <c r="J52" i="14"/>
  <c r="K52" i="14" s="1"/>
  <c r="H52" i="14"/>
  <c r="I52" i="14" s="1"/>
  <c r="E52" i="14"/>
  <c r="F52" i="14" s="1"/>
  <c r="J51" i="14"/>
  <c r="K51" i="14" s="1"/>
  <c r="H51" i="14"/>
  <c r="I51" i="14" s="1"/>
  <c r="E51" i="14"/>
  <c r="F51" i="14" s="1"/>
  <c r="J50" i="14"/>
  <c r="K50" i="14" s="1"/>
  <c r="H50" i="14"/>
  <c r="I50" i="14" s="1"/>
  <c r="E50" i="14"/>
  <c r="F50" i="14" s="1"/>
  <c r="J49" i="14"/>
  <c r="K49" i="14" s="1"/>
  <c r="H49" i="14"/>
  <c r="I49" i="14" s="1"/>
  <c r="E49" i="14"/>
  <c r="F49" i="14" s="1"/>
  <c r="J48" i="14"/>
  <c r="K48" i="14" s="1"/>
  <c r="H48" i="14"/>
  <c r="I48" i="14" s="1"/>
  <c r="E48" i="14"/>
  <c r="F48" i="14" s="1"/>
  <c r="K47" i="14"/>
  <c r="J47" i="14"/>
  <c r="H47" i="14"/>
  <c r="I47" i="14" s="1"/>
  <c r="E47" i="14"/>
  <c r="F47" i="14" s="1"/>
  <c r="J46" i="14"/>
  <c r="K46" i="14" s="1"/>
  <c r="H46" i="14"/>
  <c r="I46" i="14" s="1"/>
  <c r="E46" i="14"/>
  <c r="F46" i="14" s="1"/>
  <c r="J45" i="14"/>
  <c r="K45" i="14" s="1"/>
  <c r="H45" i="14"/>
  <c r="I45" i="14" s="1"/>
  <c r="E45" i="14"/>
  <c r="F45" i="14" s="1"/>
  <c r="J44" i="14"/>
  <c r="K44" i="14" s="1"/>
  <c r="H44" i="14"/>
  <c r="I44" i="14" s="1"/>
  <c r="E44" i="14"/>
  <c r="F44" i="14" s="1"/>
  <c r="J43" i="14"/>
  <c r="K43" i="14" s="1"/>
  <c r="H43" i="14"/>
  <c r="I43" i="14" s="1"/>
  <c r="E43" i="14"/>
  <c r="F43" i="14" s="1"/>
  <c r="J42" i="14"/>
  <c r="K42" i="14" s="1"/>
  <c r="H42" i="14"/>
  <c r="I42" i="14" s="1"/>
  <c r="E42" i="14"/>
  <c r="F42" i="14" s="1"/>
  <c r="K41" i="14"/>
  <c r="J41" i="14"/>
  <c r="H41" i="14"/>
  <c r="I41" i="14" s="1"/>
  <c r="E41" i="14"/>
  <c r="F41" i="14" s="1"/>
  <c r="J40" i="14"/>
  <c r="K40" i="14" s="1"/>
  <c r="H40" i="14"/>
  <c r="I40" i="14" s="1"/>
  <c r="E40" i="14"/>
  <c r="F40" i="14" s="1"/>
  <c r="K39" i="14"/>
  <c r="J39" i="14"/>
  <c r="H39" i="14"/>
  <c r="I39" i="14" s="1"/>
  <c r="E39" i="14"/>
  <c r="F39" i="14" s="1"/>
  <c r="J38" i="14"/>
  <c r="K38" i="14" s="1"/>
  <c r="H38" i="14"/>
  <c r="I38" i="14" s="1"/>
  <c r="E38" i="14"/>
  <c r="F38" i="14" s="1"/>
  <c r="J37" i="14"/>
  <c r="K37" i="14" s="1"/>
  <c r="H37" i="14"/>
  <c r="I37" i="14" s="1"/>
  <c r="E37" i="14"/>
  <c r="F37" i="14" s="1"/>
  <c r="J36" i="14"/>
  <c r="K36" i="14" s="1"/>
  <c r="H36" i="14"/>
  <c r="I36" i="14" s="1"/>
  <c r="E36" i="14"/>
  <c r="F36" i="14" s="1"/>
  <c r="J35" i="14"/>
  <c r="K35" i="14" s="1"/>
  <c r="H35" i="14"/>
  <c r="I35" i="14" s="1"/>
  <c r="E35" i="14"/>
  <c r="F35" i="14" s="1"/>
  <c r="J34" i="14"/>
  <c r="K34" i="14" s="1"/>
  <c r="H34" i="14"/>
  <c r="I34" i="14" s="1"/>
  <c r="E34" i="14"/>
  <c r="F34" i="14" s="1"/>
  <c r="J33" i="14"/>
  <c r="K33" i="14" s="1"/>
  <c r="H33" i="14"/>
  <c r="I33" i="14" s="1"/>
  <c r="E33" i="14"/>
  <c r="F33" i="14" s="1"/>
  <c r="J32" i="14"/>
  <c r="K32" i="14" s="1"/>
  <c r="H32" i="14"/>
  <c r="I32" i="14" s="1"/>
  <c r="E32" i="14"/>
  <c r="F32" i="14" s="1"/>
  <c r="K31" i="14"/>
  <c r="J31" i="14"/>
  <c r="H31" i="14"/>
  <c r="I31" i="14" s="1"/>
  <c r="E31" i="14"/>
  <c r="F31" i="14" s="1"/>
  <c r="J30" i="14"/>
  <c r="K30" i="14" s="1"/>
  <c r="H30" i="14"/>
  <c r="I30" i="14" s="1"/>
  <c r="E30" i="14"/>
  <c r="F30" i="14" s="1"/>
  <c r="J29" i="14"/>
  <c r="K29" i="14" s="1"/>
  <c r="H29" i="14"/>
  <c r="I29" i="14" s="1"/>
  <c r="E29" i="14"/>
  <c r="F29" i="14" s="1"/>
  <c r="K28" i="14"/>
  <c r="H28" i="14"/>
  <c r="I28" i="14" s="1"/>
  <c r="E28" i="14"/>
  <c r="F28" i="14" s="1"/>
  <c r="K27" i="14"/>
  <c r="H27" i="14"/>
  <c r="I27" i="14" s="1"/>
  <c r="E27" i="14"/>
  <c r="F27" i="14" s="1"/>
  <c r="K26" i="14"/>
  <c r="H26" i="14"/>
  <c r="I26" i="14" s="1"/>
  <c r="E26" i="14"/>
  <c r="F26" i="14" s="1"/>
  <c r="K25" i="14"/>
  <c r="H25" i="14"/>
  <c r="I25" i="14" s="1"/>
  <c r="E25" i="14"/>
  <c r="F25" i="14" s="1"/>
  <c r="K24" i="14"/>
  <c r="H24" i="14"/>
  <c r="I24" i="14" s="1"/>
  <c r="E24" i="14"/>
  <c r="F24" i="14" s="1"/>
  <c r="K23" i="14"/>
  <c r="H23" i="14"/>
  <c r="I23" i="14" s="1"/>
  <c r="E23" i="14"/>
  <c r="F23" i="14" s="1"/>
  <c r="K22" i="14"/>
  <c r="H22" i="14"/>
  <c r="I22" i="14" s="1"/>
  <c r="E22" i="14"/>
  <c r="F22" i="14" s="1"/>
  <c r="K21" i="14"/>
  <c r="H21" i="14"/>
  <c r="I21" i="14" s="1"/>
  <c r="E21" i="14"/>
  <c r="F21" i="14" s="1"/>
  <c r="K20" i="14"/>
  <c r="H20" i="14"/>
  <c r="I20" i="14" s="1"/>
  <c r="E20" i="14"/>
  <c r="F20" i="14" s="1"/>
  <c r="K19" i="14"/>
  <c r="H19" i="14"/>
  <c r="I19" i="14" s="1"/>
  <c r="E19" i="14"/>
  <c r="F19" i="14" s="1"/>
  <c r="K18" i="14"/>
  <c r="H18" i="14"/>
  <c r="I18" i="14" s="1"/>
  <c r="E18" i="14"/>
  <c r="F18" i="14" s="1"/>
  <c r="H17" i="14"/>
  <c r="I17" i="14" s="1"/>
  <c r="E17" i="14"/>
  <c r="F17" i="14" s="1"/>
  <c r="K16" i="14"/>
  <c r="H16" i="14"/>
  <c r="I16" i="14" s="1"/>
  <c r="E16" i="14"/>
  <c r="F16" i="14" s="1"/>
  <c r="K15" i="14"/>
  <c r="H15" i="14"/>
  <c r="I15" i="14" s="1"/>
  <c r="E15" i="14"/>
  <c r="F15" i="14" s="1"/>
  <c r="K14" i="14"/>
  <c r="H14" i="14"/>
  <c r="I14" i="14" s="1"/>
  <c r="E14" i="14"/>
  <c r="F14" i="14" s="1"/>
  <c r="K13" i="14"/>
  <c r="H13" i="14"/>
  <c r="I13" i="14" s="1"/>
  <c r="E13" i="14"/>
  <c r="F13" i="14" s="1"/>
  <c r="K12" i="14"/>
  <c r="H12" i="14"/>
  <c r="I12" i="14" s="1"/>
  <c r="E12" i="14"/>
  <c r="F12" i="14" s="1"/>
  <c r="K11" i="14"/>
  <c r="H11" i="14"/>
  <c r="I11" i="14" s="1"/>
  <c r="E11" i="14"/>
  <c r="F11" i="14" s="1"/>
  <c r="K10" i="14"/>
  <c r="H10" i="14"/>
  <c r="I10" i="14" s="1"/>
  <c r="E10" i="14"/>
  <c r="F10" i="14" s="1"/>
  <c r="K9" i="14"/>
  <c r="H9" i="14"/>
  <c r="I9" i="14" s="1"/>
  <c r="E9" i="14"/>
  <c r="F9" i="14" s="1"/>
  <c r="K8" i="14"/>
  <c r="H8" i="14"/>
  <c r="I8" i="14" s="1"/>
  <c r="E8" i="14"/>
  <c r="F8" i="14" s="1"/>
  <c r="H7" i="14"/>
  <c r="E7" i="14"/>
  <c r="F7" i="14" s="1"/>
  <c r="C7" i="14"/>
  <c r="B7" i="14"/>
  <c r="H4" i="14"/>
  <c r="E4" i="14"/>
  <c r="C4" i="14"/>
  <c r="B4" i="14"/>
  <c r="A4" i="14"/>
  <c r="H6" i="14"/>
  <c r="I6" i="14" s="1"/>
  <c r="E6" i="14"/>
  <c r="F6" i="14" s="1"/>
  <c r="C6" i="14"/>
  <c r="B6" i="14"/>
  <c r="H5" i="14"/>
  <c r="E5" i="14"/>
  <c r="C5" i="14"/>
  <c r="B5" i="14"/>
  <c r="A5" i="14"/>
  <c r="H3" i="14"/>
  <c r="E3" i="14"/>
  <c r="C3" i="14"/>
  <c r="B3" i="14"/>
  <c r="A3" i="14"/>
  <c r="H2" i="14"/>
  <c r="E2" i="14"/>
  <c r="C2" i="14"/>
  <c r="B2" i="14"/>
  <c r="A2" i="14"/>
  <c r="J100" i="13"/>
  <c r="K100" i="13" s="1"/>
  <c r="H100" i="13"/>
  <c r="I100" i="13" s="1"/>
  <c r="E100" i="13"/>
  <c r="F100" i="13" s="1"/>
  <c r="K99" i="13"/>
  <c r="J99" i="13"/>
  <c r="H99" i="13"/>
  <c r="I99" i="13" s="1"/>
  <c r="E99" i="13"/>
  <c r="F99" i="13" s="1"/>
  <c r="J98" i="13"/>
  <c r="K98" i="13" s="1"/>
  <c r="H98" i="13"/>
  <c r="I98" i="13" s="1"/>
  <c r="E98" i="13"/>
  <c r="F98" i="13" s="1"/>
  <c r="J97" i="13"/>
  <c r="K97" i="13" s="1"/>
  <c r="H97" i="13"/>
  <c r="I97" i="13" s="1"/>
  <c r="E97" i="13"/>
  <c r="F97" i="13" s="1"/>
  <c r="J96" i="13"/>
  <c r="K96" i="13" s="1"/>
  <c r="H96" i="13"/>
  <c r="I96" i="13" s="1"/>
  <c r="E96" i="13"/>
  <c r="F96" i="13" s="1"/>
  <c r="K95" i="13"/>
  <c r="J95" i="13"/>
  <c r="H95" i="13"/>
  <c r="I95" i="13" s="1"/>
  <c r="E95" i="13"/>
  <c r="F95" i="13" s="1"/>
  <c r="J94" i="13"/>
  <c r="K94" i="13" s="1"/>
  <c r="H94" i="13"/>
  <c r="I94" i="13" s="1"/>
  <c r="E94" i="13"/>
  <c r="F94" i="13" s="1"/>
  <c r="K93" i="13"/>
  <c r="J93" i="13"/>
  <c r="H93" i="13"/>
  <c r="I93" i="13" s="1"/>
  <c r="E93" i="13"/>
  <c r="F93" i="13" s="1"/>
  <c r="J92" i="13"/>
  <c r="K92" i="13" s="1"/>
  <c r="H92" i="13"/>
  <c r="I92" i="13" s="1"/>
  <c r="E92" i="13"/>
  <c r="F92" i="13" s="1"/>
  <c r="J91" i="13"/>
  <c r="K91" i="13" s="1"/>
  <c r="H91" i="13"/>
  <c r="I91" i="13" s="1"/>
  <c r="E91" i="13"/>
  <c r="F91" i="13" s="1"/>
  <c r="J90" i="13"/>
  <c r="K90" i="13" s="1"/>
  <c r="H90" i="13"/>
  <c r="I90" i="13" s="1"/>
  <c r="E90" i="13"/>
  <c r="F90" i="13" s="1"/>
  <c r="J89" i="13"/>
  <c r="K89" i="13" s="1"/>
  <c r="H89" i="13"/>
  <c r="I89" i="13" s="1"/>
  <c r="E89" i="13"/>
  <c r="F89" i="13" s="1"/>
  <c r="J88" i="13"/>
  <c r="K88" i="13" s="1"/>
  <c r="H88" i="13"/>
  <c r="I88" i="13" s="1"/>
  <c r="E88" i="13"/>
  <c r="F88" i="13" s="1"/>
  <c r="K87" i="13"/>
  <c r="J87" i="13"/>
  <c r="H87" i="13"/>
  <c r="I87" i="13" s="1"/>
  <c r="E87" i="13"/>
  <c r="F87" i="13" s="1"/>
  <c r="J86" i="13"/>
  <c r="K86" i="13" s="1"/>
  <c r="H86" i="13"/>
  <c r="I86" i="13" s="1"/>
  <c r="E86" i="13"/>
  <c r="F86" i="13" s="1"/>
  <c r="J85" i="13"/>
  <c r="K85" i="13" s="1"/>
  <c r="H85" i="13"/>
  <c r="I85" i="13" s="1"/>
  <c r="E85" i="13"/>
  <c r="F85" i="13" s="1"/>
  <c r="J84" i="13"/>
  <c r="K84" i="13" s="1"/>
  <c r="H84" i="13"/>
  <c r="I84" i="13" s="1"/>
  <c r="E84" i="13"/>
  <c r="F84" i="13" s="1"/>
  <c r="K83" i="13"/>
  <c r="J83" i="13"/>
  <c r="H83" i="13"/>
  <c r="I83" i="13" s="1"/>
  <c r="E83" i="13"/>
  <c r="F83" i="13" s="1"/>
  <c r="J82" i="13"/>
  <c r="K82" i="13" s="1"/>
  <c r="H82" i="13"/>
  <c r="I82" i="13" s="1"/>
  <c r="E82" i="13"/>
  <c r="F82" i="13" s="1"/>
  <c r="K81" i="13"/>
  <c r="J81" i="13"/>
  <c r="H81" i="13"/>
  <c r="I81" i="13" s="1"/>
  <c r="E81" i="13"/>
  <c r="F81" i="13" s="1"/>
  <c r="J80" i="13"/>
  <c r="K80" i="13" s="1"/>
  <c r="H80" i="13"/>
  <c r="I80" i="13" s="1"/>
  <c r="E80" i="13"/>
  <c r="F80" i="13" s="1"/>
  <c r="J79" i="13"/>
  <c r="K79" i="13" s="1"/>
  <c r="H79" i="13"/>
  <c r="I79" i="13" s="1"/>
  <c r="E79" i="13"/>
  <c r="F79" i="13" s="1"/>
  <c r="J78" i="13"/>
  <c r="K78" i="13" s="1"/>
  <c r="H78" i="13"/>
  <c r="I78" i="13" s="1"/>
  <c r="E78" i="13"/>
  <c r="F78" i="13" s="1"/>
  <c r="K77" i="13"/>
  <c r="J77" i="13"/>
  <c r="H77" i="13"/>
  <c r="I77" i="13" s="1"/>
  <c r="E77" i="13"/>
  <c r="F77" i="13" s="1"/>
  <c r="J76" i="13"/>
  <c r="K76" i="13" s="1"/>
  <c r="H76" i="13"/>
  <c r="I76" i="13" s="1"/>
  <c r="E76" i="13"/>
  <c r="F76" i="13" s="1"/>
  <c r="K75" i="13"/>
  <c r="J75" i="13"/>
  <c r="H75" i="13"/>
  <c r="I75" i="13" s="1"/>
  <c r="E75" i="13"/>
  <c r="F75" i="13" s="1"/>
  <c r="J74" i="13"/>
  <c r="K74" i="13" s="1"/>
  <c r="H74" i="13"/>
  <c r="I74" i="13" s="1"/>
  <c r="E74" i="13"/>
  <c r="F74" i="13" s="1"/>
  <c r="J73" i="13"/>
  <c r="K73" i="13" s="1"/>
  <c r="H73" i="13"/>
  <c r="I73" i="13" s="1"/>
  <c r="E73" i="13"/>
  <c r="F73" i="13" s="1"/>
  <c r="J72" i="13"/>
  <c r="K72" i="13" s="1"/>
  <c r="H72" i="13"/>
  <c r="I72" i="13" s="1"/>
  <c r="E72" i="13"/>
  <c r="F72" i="13" s="1"/>
  <c r="K71" i="13"/>
  <c r="J71" i="13"/>
  <c r="H71" i="13"/>
  <c r="I71" i="13" s="1"/>
  <c r="E71" i="13"/>
  <c r="F71" i="13" s="1"/>
  <c r="J70" i="13"/>
  <c r="K70" i="13" s="1"/>
  <c r="H70" i="13"/>
  <c r="I70" i="13" s="1"/>
  <c r="E70" i="13"/>
  <c r="F70" i="13" s="1"/>
  <c r="K69" i="13"/>
  <c r="J69" i="13"/>
  <c r="H69" i="13"/>
  <c r="I69" i="13" s="1"/>
  <c r="E69" i="13"/>
  <c r="F69" i="13" s="1"/>
  <c r="J68" i="13"/>
  <c r="K68" i="13" s="1"/>
  <c r="H68" i="13"/>
  <c r="I68" i="13" s="1"/>
  <c r="E68" i="13"/>
  <c r="F68" i="13" s="1"/>
  <c r="J67" i="13"/>
  <c r="K67" i="13" s="1"/>
  <c r="H67" i="13"/>
  <c r="I67" i="13" s="1"/>
  <c r="E67" i="13"/>
  <c r="F67" i="13" s="1"/>
  <c r="J66" i="13"/>
  <c r="K66" i="13" s="1"/>
  <c r="H66" i="13"/>
  <c r="I66" i="13" s="1"/>
  <c r="E66" i="13"/>
  <c r="F66" i="13" s="1"/>
  <c r="K65" i="13"/>
  <c r="J65" i="13"/>
  <c r="H65" i="13"/>
  <c r="I65" i="13" s="1"/>
  <c r="E65" i="13"/>
  <c r="F65" i="13" s="1"/>
  <c r="J64" i="13"/>
  <c r="K64" i="13" s="1"/>
  <c r="H64" i="13"/>
  <c r="I64" i="13" s="1"/>
  <c r="E64" i="13"/>
  <c r="F64" i="13" s="1"/>
  <c r="K63" i="13"/>
  <c r="J63" i="13"/>
  <c r="H63" i="13"/>
  <c r="I63" i="13" s="1"/>
  <c r="E63" i="13"/>
  <c r="F63" i="13" s="1"/>
  <c r="J62" i="13"/>
  <c r="K62" i="13" s="1"/>
  <c r="H62" i="13"/>
  <c r="I62" i="13" s="1"/>
  <c r="E62" i="13"/>
  <c r="F62" i="13" s="1"/>
  <c r="J61" i="13"/>
  <c r="K61" i="13" s="1"/>
  <c r="H61" i="13"/>
  <c r="I61" i="13" s="1"/>
  <c r="E61" i="13"/>
  <c r="F61" i="13" s="1"/>
  <c r="J60" i="13"/>
  <c r="K60" i="13" s="1"/>
  <c r="H60" i="13"/>
  <c r="I60" i="13" s="1"/>
  <c r="E60" i="13"/>
  <c r="F60" i="13" s="1"/>
  <c r="K59" i="13"/>
  <c r="J59" i="13"/>
  <c r="H59" i="13"/>
  <c r="I59" i="13" s="1"/>
  <c r="E59" i="13"/>
  <c r="F59" i="13" s="1"/>
  <c r="J58" i="13"/>
  <c r="K58" i="13" s="1"/>
  <c r="H58" i="13"/>
  <c r="I58" i="13" s="1"/>
  <c r="E58" i="13"/>
  <c r="F58" i="13" s="1"/>
  <c r="K57" i="13"/>
  <c r="J57" i="13"/>
  <c r="H57" i="13"/>
  <c r="I57" i="13" s="1"/>
  <c r="E57" i="13"/>
  <c r="F57" i="13" s="1"/>
  <c r="J56" i="13"/>
  <c r="K56" i="13" s="1"/>
  <c r="H56" i="13"/>
  <c r="I56" i="13" s="1"/>
  <c r="E56" i="13"/>
  <c r="F56" i="13" s="1"/>
  <c r="J55" i="13"/>
  <c r="K55" i="13" s="1"/>
  <c r="H55" i="13"/>
  <c r="I55" i="13" s="1"/>
  <c r="E55" i="13"/>
  <c r="F55" i="13" s="1"/>
  <c r="J54" i="13"/>
  <c r="K54" i="13" s="1"/>
  <c r="H54" i="13"/>
  <c r="I54" i="13" s="1"/>
  <c r="E54" i="13"/>
  <c r="F54" i="13" s="1"/>
  <c r="K53" i="13"/>
  <c r="J53" i="13"/>
  <c r="H53" i="13"/>
  <c r="I53" i="13" s="1"/>
  <c r="E53" i="13"/>
  <c r="F53" i="13" s="1"/>
  <c r="J52" i="13"/>
  <c r="K52" i="13" s="1"/>
  <c r="H52" i="13"/>
  <c r="I52" i="13" s="1"/>
  <c r="E52" i="13"/>
  <c r="F52" i="13" s="1"/>
  <c r="K51" i="13"/>
  <c r="J51" i="13"/>
  <c r="H51" i="13"/>
  <c r="I51" i="13" s="1"/>
  <c r="E51" i="13"/>
  <c r="F51" i="13" s="1"/>
  <c r="J50" i="13"/>
  <c r="K50" i="13" s="1"/>
  <c r="H50" i="13"/>
  <c r="I50" i="13" s="1"/>
  <c r="E50" i="13"/>
  <c r="F50" i="13" s="1"/>
  <c r="J49" i="13"/>
  <c r="K49" i="13" s="1"/>
  <c r="H49" i="13"/>
  <c r="E49" i="13"/>
  <c r="F49" i="13" s="1"/>
  <c r="J48" i="13"/>
  <c r="K48" i="13" s="1"/>
  <c r="H48" i="13"/>
  <c r="I48" i="13" s="1"/>
  <c r="E48" i="13"/>
  <c r="F48" i="13" s="1"/>
  <c r="K47" i="13"/>
  <c r="J47" i="13"/>
  <c r="H47" i="13"/>
  <c r="I47" i="13" s="1"/>
  <c r="E47" i="13"/>
  <c r="F47" i="13" s="1"/>
  <c r="J46" i="13"/>
  <c r="K46" i="13" s="1"/>
  <c r="H46" i="13"/>
  <c r="I46" i="13" s="1"/>
  <c r="E46" i="13"/>
  <c r="F46" i="13" s="1"/>
  <c r="J45" i="13"/>
  <c r="K45" i="13" s="1"/>
  <c r="H45" i="13"/>
  <c r="I45" i="13" s="1"/>
  <c r="E45" i="13"/>
  <c r="F45" i="13" s="1"/>
  <c r="J44" i="13"/>
  <c r="K44" i="13" s="1"/>
  <c r="H44" i="13"/>
  <c r="I44" i="13" s="1"/>
  <c r="E44" i="13"/>
  <c r="F44" i="13" s="1"/>
  <c r="J43" i="13"/>
  <c r="K43" i="13" s="1"/>
  <c r="H43" i="13"/>
  <c r="I43" i="13" s="1"/>
  <c r="E43" i="13"/>
  <c r="F43" i="13" s="1"/>
  <c r="J42" i="13"/>
  <c r="K42" i="13" s="1"/>
  <c r="H42" i="13"/>
  <c r="I42" i="13" s="1"/>
  <c r="E42" i="13"/>
  <c r="F42" i="13" s="1"/>
  <c r="J41" i="13"/>
  <c r="K41" i="13" s="1"/>
  <c r="H41" i="13"/>
  <c r="I41" i="13" s="1"/>
  <c r="E41" i="13"/>
  <c r="F41" i="13" s="1"/>
  <c r="J40" i="13"/>
  <c r="K40" i="13" s="1"/>
  <c r="H40" i="13"/>
  <c r="I40" i="13" s="1"/>
  <c r="E40" i="13"/>
  <c r="F40" i="13" s="1"/>
  <c r="J39" i="13"/>
  <c r="K39" i="13" s="1"/>
  <c r="H39" i="13"/>
  <c r="I39" i="13" s="1"/>
  <c r="E39" i="13"/>
  <c r="F39" i="13" s="1"/>
  <c r="J38" i="13"/>
  <c r="K38" i="13" s="1"/>
  <c r="H38" i="13"/>
  <c r="I38" i="13" s="1"/>
  <c r="E38" i="13"/>
  <c r="F38" i="13" s="1"/>
  <c r="J37" i="13"/>
  <c r="K37" i="13" s="1"/>
  <c r="H37" i="13"/>
  <c r="I37" i="13" s="1"/>
  <c r="E37" i="13"/>
  <c r="F37" i="13" s="1"/>
  <c r="J36" i="13"/>
  <c r="K36" i="13" s="1"/>
  <c r="H36" i="13"/>
  <c r="I36" i="13" s="1"/>
  <c r="E36" i="13"/>
  <c r="F36" i="13" s="1"/>
  <c r="J35" i="13"/>
  <c r="K35" i="13" s="1"/>
  <c r="H35" i="13"/>
  <c r="I35" i="13" s="1"/>
  <c r="E35" i="13"/>
  <c r="F35" i="13" s="1"/>
  <c r="J34" i="13"/>
  <c r="K34" i="13" s="1"/>
  <c r="H34" i="13"/>
  <c r="I34" i="13" s="1"/>
  <c r="E34" i="13"/>
  <c r="F34" i="13" s="1"/>
  <c r="J33" i="13"/>
  <c r="K33" i="13" s="1"/>
  <c r="H33" i="13"/>
  <c r="I33" i="13" s="1"/>
  <c r="E33" i="13"/>
  <c r="F33" i="13" s="1"/>
  <c r="J32" i="13"/>
  <c r="K32" i="13" s="1"/>
  <c r="H32" i="13"/>
  <c r="I32" i="13" s="1"/>
  <c r="E32" i="13"/>
  <c r="F32" i="13" s="1"/>
  <c r="J31" i="13"/>
  <c r="K31" i="13" s="1"/>
  <c r="H31" i="13"/>
  <c r="I31" i="13" s="1"/>
  <c r="E31" i="13"/>
  <c r="F31" i="13" s="1"/>
  <c r="J30" i="13"/>
  <c r="K30" i="13" s="1"/>
  <c r="H30" i="13"/>
  <c r="I30" i="13" s="1"/>
  <c r="E30" i="13"/>
  <c r="F30" i="13" s="1"/>
  <c r="J29" i="13"/>
  <c r="K29" i="13" s="1"/>
  <c r="H29" i="13"/>
  <c r="I29" i="13" s="1"/>
  <c r="E29" i="13"/>
  <c r="F29" i="13" s="1"/>
  <c r="J28" i="13"/>
  <c r="K28" i="13" s="1"/>
  <c r="H28" i="13"/>
  <c r="I28" i="13" s="1"/>
  <c r="E28" i="13"/>
  <c r="F28" i="13" s="1"/>
  <c r="K27" i="13"/>
  <c r="H27" i="13"/>
  <c r="I27" i="13" s="1"/>
  <c r="E27" i="13"/>
  <c r="F27" i="13" s="1"/>
  <c r="H26" i="13"/>
  <c r="I26" i="13" s="1"/>
  <c r="E26" i="13"/>
  <c r="F26" i="13" s="1"/>
  <c r="H25" i="13"/>
  <c r="I25" i="13" s="1"/>
  <c r="E25" i="13"/>
  <c r="F25" i="13" s="1"/>
  <c r="K24" i="13"/>
  <c r="H24" i="13"/>
  <c r="I24" i="13" s="1"/>
  <c r="E24" i="13"/>
  <c r="F24" i="13" s="1"/>
  <c r="K23" i="13"/>
  <c r="H23" i="13"/>
  <c r="I23" i="13" s="1"/>
  <c r="E23" i="13"/>
  <c r="F23" i="13" s="1"/>
  <c r="K22" i="13"/>
  <c r="H22" i="13"/>
  <c r="I22" i="13" s="1"/>
  <c r="E22" i="13"/>
  <c r="F22" i="13" s="1"/>
  <c r="K21" i="13"/>
  <c r="H21" i="13"/>
  <c r="I21" i="13" s="1"/>
  <c r="E21" i="13"/>
  <c r="F21" i="13" s="1"/>
  <c r="K20" i="13"/>
  <c r="H20" i="13"/>
  <c r="I20" i="13" s="1"/>
  <c r="E20" i="13"/>
  <c r="F20" i="13" s="1"/>
  <c r="K19" i="13"/>
  <c r="H19" i="13"/>
  <c r="I19" i="13" s="1"/>
  <c r="E19" i="13"/>
  <c r="F19" i="13" s="1"/>
  <c r="K18" i="13"/>
  <c r="H18" i="13"/>
  <c r="I18" i="13" s="1"/>
  <c r="E18" i="13"/>
  <c r="F18" i="13" s="1"/>
  <c r="K17" i="13"/>
  <c r="H17" i="13"/>
  <c r="I17" i="13" s="1"/>
  <c r="E17" i="13"/>
  <c r="F17" i="13" s="1"/>
  <c r="K16" i="13"/>
  <c r="H16" i="13"/>
  <c r="I16" i="13" s="1"/>
  <c r="E16" i="13"/>
  <c r="F16" i="13" s="1"/>
  <c r="K15" i="13"/>
  <c r="H15" i="13"/>
  <c r="I15" i="13" s="1"/>
  <c r="E15" i="13"/>
  <c r="F15" i="13" s="1"/>
  <c r="H14" i="13"/>
  <c r="I14" i="13" s="1"/>
  <c r="E14" i="13"/>
  <c r="F14" i="13" s="1"/>
  <c r="H13" i="13"/>
  <c r="I13" i="13" s="1"/>
  <c r="E13" i="13"/>
  <c r="F13" i="13" s="1"/>
  <c r="K12" i="13"/>
  <c r="H12" i="13"/>
  <c r="I12" i="13" s="1"/>
  <c r="E12" i="13"/>
  <c r="F12" i="13" s="1"/>
  <c r="K11" i="13"/>
  <c r="H11" i="13"/>
  <c r="I11" i="13" s="1"/>
  <c r="E11" i="13"/>
  <c r="F11" i="13" s="1"/>
  <c r="K10" i="13"/>
  <c r="H10" i="13"/>
  <c r="I10" i="13" s="1"/>
  <c r="E10" i="13"/>
  <c r="F10" i="13" s="1"/>
  <c r="K9" i="13"/>
  <c r="H9" i="13"/>
  <c r="I9" i="13" s="1"/>
  <c r="E9" i="13"/>
  <c r="F9" i="13" s="1"/>
  <c r="K8" i="13"/>
  <c r="H8" i="13"/>
  <c r="I8" i="13" s="1"/>
  <c r="E8" i="13"/>
  <c r="F8" i="13" s="1"/>
  <c r="K7" i="13"/>
  <c r="H7" i="13"/>
  <c r="I7" i="13" s="1"/>
  <c r="E7" i="13"/>
  <c r="F7" i="13" s="1"/>
  <c r="H5" i="13"/>
  <c r="E5" i="13"/>
  <c r="H2" i="13"/>
  <c r="E2" i="13"/>
  <c r="C2" i="13"/>
  <c r="B2" i="13"/>
  <c r="A2" i="13"/>
  <c r="H4" i="13"/>
  <c r="E4" i="13"/>
  <c r="C4" i="13"/>
  <c r="B4" i="13"/>
  <c r="A4" i="13"/>
  <c r="H3" i="13"/>
  <c r="E3" i="13"/>
  <c r="C3" i="13"/>
  <c r="B3" i="13"/>
  <c r="A3" i="13"/>
  <c r="H6" i="13"/>
  <c r="E6" i="13"/>
  <c r="C6" i="13"/>
  <c r="B6" i="13"/>
  <c r="A6" i="13"/>
  <c r="J100" i="12"/>
  <c r="K100" i="12" s="1"/>
  <c r="H100" i="12"/>
  <c r="I100" i="12" s="1"/>
  <c r="E100" i="12"/>
  <c r="F100" i="12" s="1"/>
  <c r="J99" i="12"/>
  <c r="K99" i="12" s="1"/>
  <c r="H99" i="12"/>
  <c r="I99" i="12" s="1"/>
  <c r="E99" i="12"/>
  <c r="F99" i="12" s="1"/>
  <c r="J98" i="12"/>
  <c r="K98" i="12" s="1"/>
  <c r="H98" i="12"/>
  <c r="I98" i="12" s="1"/>
  <c r="E98" i="12"/>
  <c r="F98" i="12" s="1"/>
  <c r="J97" i="12"/>
  <c r="K97" i="12" s="1"/>
  <c r="H97" i="12"/>
  <c r="I97" i="12" s="1"/>
  <c r="E97" i="12"/>
  <c r="F97" i="12" s="1"/>
  <c r="J96" i="12"/>
  <c r="K96" i="12" s="1"/>
  <c r="H96" i="12"/>
  <c r="I96" i="12" s="1"/>
  <c r="E96" i="12"/>
  <c r="F96" i="12" s="1"/>
  <c r="J95" i="12"/>
  <c r="K95" i="12" s="1"/>
  <c r="H95" i="12"/>
  <c r="I95" i="12" s="1"/>
  <c r="E95" i="12"/>
  <c r="F95" i="12" s="1"/>
  <c r="J94" i="12"/>
  <c r="K94" i="12" s="1"/>
  <c r="H94" i="12"/>
  <c r="I94" i="12" s="1"/>
  <c r="E94" i="12"/>
  <c r="F94" i="12" s="1"/>
  <c r="J93" i="12"/>
  <c r="K93" i="12" s="1"/>
  <c r="H93" i="12"/>
  <c r="I93" i="12" s="1"/>
  <c r="E93" i="12"/>
  <c r="F93" i="12" s="1"/>
  <c r="J92" i="12"/>
  <c r="K92" i="12" s="1"/>
  <c r="H92" i="12"/>
  <c r="I92" i="12" s="1"/>
  <c r="E92" i="12"/>
  <c r="F92" i="12" s="1"/>
  <c r="J91" i="12"/>
  <c r="K91" i="12" s="1"/>
  <c r="H91" i="12"/>
  <c r="I91" i="12" s="1"/>
  <c r="E91" i="12"/>
  <c r="F91" i="12" s="1"/>
  <c r="J90" i="12"/>
  <c r="K90" i="12" s="1"/>
  <c r="H90" i="12"/>
  <c r="I90" i="12" s="1"/>
  <c r="E90" i="12"/>
  <c r="F90" i="12" s="1"/>
  <c r="J89" i="12"/>
  <c r="K89" i="12" s="1"/>
  <c r="H89" i="12"/>
  <c r="I89" i="12" s="1"/>
  <c r="E89" i="12"/>
  <c r="F89" i="12" s="1"/>
  <c r="J88" i="12"/>
  <c r="K88" i="12" s="1"/>
  <c r="H88" i="12"/>
  <c r="I88" i="12" s="1"/>
  <c r="E88" i="12"/>
  <c r="F88" i="12" s="1"/>
  <c r="J87" i="12"/>
  <c r="K87" i="12" s="1"/>
  <c r="H87" i="12"/>
  <c r="I87" i="12" s="1"/>
  <c r="E87" i="12"/>
  <c r="F87" i="12" s="1"/>
  <c r="J86" i="12"/>
  <c r="K86" i="12" s="1"/>
  <c r="H86" i="12"/>
  <c r="I86" i="12" s="1"/>
  <c r="E86" i="12"/>
  <c r="F86" i="12" s="1"/>
  <c r="J85" i="12"/>
  <c r="K85" i="12" s="1"/>
  <c r="H85" i="12"/>
  <c r="I85" i="12" s="1"/>
  <c r="E85" i="12"/>
  <c r="F85" i="12" s="1"/>
  <c r="J84" i="12"/>
  <c r="K84" i="12" s="1"/>
  <c r="H84" i="12"/>
  <c r="I84" i="12" s="1"/>
  <c r="E84" i="12"/>
  <c r="F84" i="12" s="1"/>
  <c r="J83" i="12"/>
  <c r="K83" i="12" s="1"/>
  <c r="H83" i="12"/>
  <c r="I83" i="12" s="1"/>
  <c r="E83" i="12"/>
  <c r="F83" i="12" s="1"/>
  <c r="J82" i="12"/>
  <c r="K82" i="12" s="1"/>
  <c r="H82" i="12"/>
  <c r="I82" i="12" s="1"/>
  <c r="E82" i="12"/>
  <c r="F82" i="12" s="1"/>
  <c r="J81" i="12"/>
  <c r="K81" i="12" s="1"/>
  <c r="H81" i="12"/>
  <c r="I81" i="12" s="1"/>
  <c r="E81" i="12"/>
  <c r="F81" i="12" s="1"/>
  <c r="J80" i="12"/>
  <c r="K80" i="12" s="1"/>
  <c r="H80" i="12"/>
  <c r="I80" i="12" s="1"/>
  <c r="E80" i="12"/>
  <c r="F80" i="12" s="1"/>
  <c r="J79" i="12"/>
  <c r="K79" i="12" s="1"/>
  <c r="H79" i="12"/>
  <c r="I79" i="12" s="1"/>
  <c r="E79" i="12"/>
  <c r="F79" i="12" s="1"/>
  <c r="J78" i="12"/>
  <c r="K78" i="12" s="1"/>
  <c r="H78" i="12"/>
  <c r="I78" i="12" s="1"/>
  <c r="E78" i="12"/>
  <c r="F78" i="12" s="1"/>
  <c r="J77" i="12"/>
  <c r="K77" i="12" s="1"/>
  <c r="H77" i="12"/>
  <c r="I77" i="12" s="1"/>
  <c r="E77" i="12"/>
  <c r="F77" i="12" s="1"/>
  <c r="J76" i="12"/>
  <c r="K76" i="12" s="1"/>
  <c r="H76" i="12"/>
  <c r="I76" i="12" s="1"/>
  <c r="E76" i="12"/>
  <c r="F76" i="12" s="1"/>
  <c r="J75" i="12"/>
  <c r="K75" i="12" s="1"/>
  <c r="H75" i="12"/>
  <c r="I75" i="12" s="1"/>
  <c r="E75" i="12"/>
  <c r="F75" i="12" s="1"/>
  <c r="J74" i="12"/>
  <c r="K74" i="12" s="1"/>
  <c r="H74" i="12"/>
  <c r="I74" i="12" s="1"/>
  <c r="E74" i="12"/>
  <c r="F74" i="12" s="1"/>
  <c r="J73" i="12"/>
  <c r="K73" i="12" s="1"/>
  <c r="H73" i="12"/>
  <c r="I73" i="12" s="1"/>
  <c r="E73" i="12"/>
  <c r="F73" i="12" s="1"/>
  <c r="J72" i="12"/>
  <c r="K72" i="12" s="1"/>
  <c r="H72" i="12"/>
  <c r="I72" i="12" s="1"/>
  <c r="E72" i="12"/>
  <c r="F72" i="12" s="1"/>
  <c r="J71" i="12"/>
  <c r="K71" i="12" s="1"/>
  <c r="H71" i="12"/>
  <c r="I71" i="12" s="1"/>
  <c r="E71" i="12"/>
  <c r="F71" i="12" s="1"/>
  <c r="J70" i="12"/>
  <c r="K70" i="12" s="1"/>
  <c r="H70" i="12"/>
  <c r="I70" i="12" s="1"/>
  <c r="E70" i="12"/>
  <c r="F70" i="12" s="1"/>
  <c r="J69" i="12"/>
  <c r="K69" i="12" s="1"/>
  <c r="H69" i="12"/>
  <c r="I69" i="12" s="1"/>
  <c r="E69" i="12"/>
  <c r="F69" i="12" s="1"/>
  <c r="J68" i="12"/>
  <c r="K68" i="12" s="1"/>
  <c r="H68" i="12"/>
  <c r="I68" i="12" s="1"/>
  <c r="E68" i="12"/>
  <c r="F68" i="12" s="1"/>
  <c r="J67" i="12"/>
  <c r="K67" i="12" s="1"/>
  <c r="H67" i="12"/>
  <c r="I67" i="12" s="1"/>
  <c r="E67" i="12"/>
  <c r="F67" i="12" s="1"/>
  <c r="J66" i="12"/>
  <c r="K66" i="12" s="1"/>
  <c r="H66" i="12"/>
  <c r="I66" i="12" s="1"/>
  <c r="E66" i="12"/>
  <c r="F66" i="12" s="1"/>
  <c r="J65" i="12"/>
  <c r="K65" i="12" s="1"/>
  <c r="H65" i="12"/>
  <c r="I65" i="12" s="1"/>
  <c r="E65" i="12"/>
  <c r="F65" i="12" s="1"/>
  <c r="J64" i="12"/>
  <c r="K64" i="12" s="1"/>
  <c r="H64" i="12"/>
  <c r="I64" i="12" s="1"/>
  <c r="E64" i="12"/>
  <c r="F64" i="12" s="1"/>
  <c r="J63" i="12"/>
  <c r="K63" i="12" s="1"/>
  <c r="H63" i="12"/>
  <c r="I63" i="12" s="1"/>
  <c r="E63" i="12"/>
  <c r="F63" i="12" s="1"/>
  <c r="J62" i="12"/>
  <c r="K62" i="12" s="1"/>
  <c r="H62" i="12"/>
  <c r="I62" i="12" s="1"/>
  <c r="E62" i="12"/>
  <c r="F62" i="12" s="1"/>
  <c r="J61" i="12"/>
  <c r="K61" i="12" s="1"/>
  <c r="H61" i="12"/>
  <c r="I61" i="12" s="1"/>
  <c r="E61" i="12"/>
  <c r="F61" i="12" s="1"/>
  <c r="J60" i="12"/>
  <c r="K60" i="12" s="1"/>
  <c r="H60" i="12"/>
  <c r="I60" i="12" s="1"/>
  <c r="E60" i="12"/>
  <c r="F60" i="12" s="1"/>
  <c r="J59" i="12"/>
  <c r="K59" i="12" s="1"/>
  <c r="H59" i="12"/>
  <c r="I59" i="12" s="1"/>
  <c r="E59" i="12"/>
  <c r="F59" i="12" s="1"/>
  <c r="J58" i="12"/>
  <c r="K58" i="12" s="1"/>
  <c r="H58" i="12"/>
  <c r="I58" i="12" s="1"/>
  <c r="E58" i="12"/>
  <c r="F58" i="12" s="1"/>
  <c r="J57" i="12"/>
  <c r="K57" i="12" s="1"/>
  <c r="H57" i="12"/>
  <c r="I57" i="12" s="1"/>
  <c r="E57" i="12"/>
  <c r="F57" i="12" s="1"/>
  <c r="J56" i="12"/>
  <c r="K56" i="12" s="1"/>
  <c r="H56" i="12"/>
  <c r="I56" i="12" s="1"/>
  <c r="E56" i="12"/>
  <c r="F56" i="12" s="1"/>
  <c r="J55" i="12"/>
  <c r="K55" i="12" s="1"/>
  <c r="H55" i="12"/>
  <c r="I55" i="12" s="1"/>
  <c r="E55" i="12"/>
  <c r="F55" i="12" s="1"/>
  <c r="J54" i="12"/>
  <c r="K54" i="12" s="1"/>
  <c r="H54" i="12"/>
  <c r="I54" i="12" s="1"/>
  <c r="E54" i="12"/>
  <c r="F54" i="12" s="1"/>
  <c r="J53" i="12"/>
  <c r="K53" i="12" s="1"/>
  <c r="H53" i="12"/>
  <c r="I53" i="12" s="1"/>
  <c r="E53" i="12"/>
  <c r="F53" i="12" s="1"/>
  <c r="J52" i="12"/>
  <c r="K52" i="12" s="1"/>
  <c r="H52" i="12"/>
  <c r="I52" i="12" s="1"/>
  <c r="E52" i="12"/>
  <c r="F52" i="12" s="1"/>
  <c r="J51" i="12"/>
  <c r="K51" i="12" s="1"/>
  <c r="H51" i="12"/>
  <c r="I51" i="12" s="1"/>
  <c r="E51" i="12"/>
  <c r="F51" i="12" s="1"/>
  <c r="J50" i="12"/>
  <c r="K50" i="12" s="1"/>
  <c r="H50" i="12"/>
  <c r="I50" i="12" s="1"/>
  <c r="E50" i="12"/>
  <c r="F50" i="12" s="1"/>
  <c r="J49" i="12"/>
  <c r="K49" i="12" s="1"/>
  <c r="H49" i="12"/>
  <c r="I49" i="12" s="1"/>
  <c r="E49" i="12"/>
  <c r="F49" i="12" s="1"/>
  <c r="J48" i="12"/>
  <c r="K48" i="12" s="1"/>
  <c r="H48" i="12"/>
  <c r="I48" i="12" s="1"/>
  <c r="E48" i="12"/>
  <c r="F48" i="12" s="1"/>
  <c r="J47" i="12"/>
  <c r="K47" i="12" s="1"/>
  <c r="H47" i="12"/>
  <c r="I47" i="12" s="1"/>
  <c r="E47" i="12"/>
  <c r="F47" i="12" s="1"/>
  <c r="J46" i="12"/>
  <c r="K46" i="12" s="1"/>
  <c r="H46" i="12"/>
  <c r="I46" i="12" s="1"/>
  <c r="E46" i="12"/>
  <c r="F46" i="12" s="1"/>
  <c r="J45" i="12"/>
  <c r="K45" i="12" s="1"/>
  <c r="H45" i="12"/>
  <c r="I45" i="12" s="1"/>
  <c r="E45" i="12"/>
  <c r="F45" i="12" s="1"/>
  <c r="J44" i="12"/>
  <c r="K44" i="12" s="1"/>
  <c r="H44" i="12"/>
  <c r="I44" i="12" s="1"/>
  <c r="E44" i="12"/>
  <c r="F44" i="12" s="1"/>
  <c r="J43" i="12"/>
  <c r="K43" i="12" s="1"/>
  <c r="H43" i="12"/>
  <c r="I43" i="12" s="1"/>
  <c r="E43" i="12"/>
  <c r="F43" i="12" s="1"/>
  <c r="J42" i="12"/>
  <c r="K42" i="12" s="1"/>
  <c r="H42" i="12"/>
  <c r="I42" i="12" s="1"/>
  <c r="E42" i="12"/>
  <c r="F42" i="12" s="1"/>
  <c r="J41" i="12"/>
  <c r="K41" i="12" s="1"/>
  <c r="H41" i="12"/>
  <c r="I41" i="12" s="1"/>
  <c r="E41" i="12"/>
  <c r="F41" i="12" s="1"/>
  <c r="J40" i="12"/>
  <c r="K40" i="12" s="1"/>
  <c r="H40" i="12"/>
  <c r="I40" i="12" s="1"/>
  <c r="E40" i="12"/>
  <c r="F40" i="12" s="1"/>
  <c r="J39" i="12"/>
  <c r="K39" i="12" s="1"/>
  <c r="H39" i="12"/>
  <c r="I39" i="12" s="1"/>
  <c r="E39" i="12"/>
  <c r="F39" i="12" s="1"/>
  <c r="J38" i="12"/>
  <c r="K38" i="12" s="1"/>
  <c r="H38" i="12"/>
  <c r="I38" i="12" s="1"/>
  <c r="E38" i="12"/>
  <c r="F38" i="12" s="1"/>
  <c r="J37" i="12"/>
  <c r="K37" i="12" s="1"/>
  <c r="H37" i="12"/>
  <c r="I37" i="12" s="1"/>
  <c r="E37" i="12"/>
  <c r="F37" i="12" s="1"/>
  <c r="J36" i="12"/>
  <c r="K36" i="12" s="1"/>
  <c r="H36" i="12"/>
  <c r="I36" i="12" s="1"/>
  <c r="E36" i="12"/>
  <c r="F36" i="12" s="1"/>
  <c r="J35" i="12"/>
  <c r="K35" i="12" s="1"/>
  <c r="H35" i="12"/>
  <c r="I35" i="12" s="1"/>
  <c r="E35" i="12"/>
  <c r="F35" i="12" s="1"/>
  <c r="J34" i="12"/>
  <c r="K34" i="12" s="1"/>
  <c r="H34" i="12"/>
  <c r="I34" i="12" s="1"/>
  <c r="E34" i="12"/>
  <c r="F34" i="12" s="1"/>
  <c r="J33" i="12"/>
  <c r="K33" i="12" s="1"/>
  <c r="H33" i="12"/>
  <c r="I33" i="12" s="1"/>
  <c r="E33" i="12"/>
  <c r="F33" i="12" s="1"/>
  <c r="J32" i="12"/>
  <c r="K32" i="12" s="1"/>
  <c r="H32" i="12"/>
  <c r="I32" i="12" s="1"/>
  <c r="E32" i="12"/>
  <c r="F32" i="12" s="1"/>
  <c r="J31" i="12"/>
  <c r="K31" i="12" s="1"/>
  <c r="H31" i="12"/>
  <c r="I31" i="12" s="1"/>
  <c r="E31" i="12"/>
  <c r="F31" i="12" s="1"/>
  <c r="J30" i="12"/>
  <c r="K30" i="12" s="1"/>
  <c r="H30" i="12"/>
  <c r="I30" i="12" s="1"/>
  <c r="E30" i="12"/>
  <c r="F30" i="12" s="1"/>
  <c r="J29" i="12"/>
  <c r="K29" i="12" s="1"/>
  <c r="H29" i="12"/>
  <c r="I29" i="12" s="1"/>
  <c r="E29" i="12"/>
  <c r="F29" i="12" s="1"/>
  <c r="J28" i="12"/>
  <c r="K28" i="12" s="1"/>
  <c r="H28" i="12"/>
  <c r="I28" i="12" s="1"/>
  <c r="E28" i="12"/>
  <c r="F28" i="12" s="1"/>
  <c r="J27" i="12"/>
  <c r="K27" i="12" s="1"/>
  <c r="H27" i="12"/>
  <c r="I27" i="12" s="1"/>
  <c r="E27" i="12"/>
  <c r="F27" i="12" s="1"/>
  <c r="K26" i="12"/>
  <c r="H26" i="12"/>
  <c r="I26" i="12" s="1"/>
  <c r="E26" i="12"/>
  <c r="F26" i="12" s="1"/>
  <c r="K25" i="12"/>
  <c r="H25" i="12"/>
  <c r="I25" i="12" s="1"/>
  <c r="E25" i="12"/>
  <c r="F25" i="12" s="1"/>
  <c r="K24" i="12"/>
  <c r="H24" i="12"/>
  <c r="I24" i="12" s="1"/>
  <c r="E24" i="12"/>
  <c r="F24" i="12" s="1"/>
  <c r="K23" i="12"/>
  <c r="H23" i="12"/>
  <c r="I23" i="12" s="1"/>
  <c r="E23" i="12"/>
  <c r="F23" i="12" s="1"/>
  <c r="K22" i="12"/>
  <c r="H22" i="12"/>
  <c r="I22" i="12" s="1"/>
  <c r="E22" i="12"/>
  <c r="F22" i="12" s="1"/>
  <c r="K21" i="12"/>
  <c r="H21" i="12"/>
  <c r="I21" i="12" s="1"/>
  <c r="E21" i="12"/>
  <c r="F21" i="12" s="1"/>
  <c r="K20" i="12"/>
  <c r="H20" i="12"/>
  <c r="I20" i="12" s="1"/>
  <c r="E20" i="12"/>
  <c r="F20" i="12" s="1"/>
  <c r="K19" i="12"/>
  <c r="H19" i="12"/>
  <c r="I19" i="12" s="1"/>
  <c r="E19" i="12"/>
  <c r="F19" i="12" s="1"/>
  <c r="H18" i="12"/>
  <c r="I18" i="12" s="1"/>
  <c r="E18" i="12"/>
  <c r="F18" i="12" s="1"/>
  <c r="K17" i="12"/>
  <c r="H17" i="12"/>
  <c r="I17" i="12" s="1"/>
  <c r="E17" i="12"/>
  <c r="F17" i="12" s="1"/>
  <c r="K16" i="12"/>
  <c r="H16" i="12"/>
  <c r="I16" i="12" s="1"/>
  <c r="E16" i="12"/>
  <c r="F16" i="12" s="1"/>
  <c r="K15" i="12"/>
  <c r="H15" i="12"/>
  <c r="I15" i="12" s="1"/>
  <c r="E15" i="12"/>
  <c r="F15" i="12" s="1"/>
  <c r="K14" i="12"/>
  <c r="H14" i="12"/>
  <c r="I14" i="12" s="1"/>
  <c r="E14" i="12"/>
  <c r="F14" i="12" s="1"/>
  <c r="K13" i="12"/>
  <c r="H13" i="12"/>
  <c r="I13" i="12" s="1"/>
  <c r="E13" i="12"/>
  <c r="F13" i="12" s="1"/>
  <c r="K12" i="12"/>
  <c r="H12" i="12"/>
  <c r="I12" i="12" s="1"/>
  <c r="E12" i="12"/>
  <c r="F12" i="12" s="1"/>
  <c r="K11" i="12"/>
  <c r="H11" i="12"/>
  <c r="I11" i="12" s="1"/>
  <c r="E11" i="12"/>
  <c r="F11" i="12" s="1"/>
  <c r="K10" i="12"/>
  <c r="H10" i="12"/>
  <c r="I10" i="12" s="1"/>
  <c r="E10" i="12"/>
  <c r="F10" i="12" s="1"/>
  <c r="K9" i="12"/>
  <c r="H9" i="12"/>
  <c r="I9" i="12" s="1"/>
  <c r="E9" i="12"/>
  <c r="F9" i="12" s="1"/>
  <c r="K8" i="12"/>
  <c r="H8" i="12"/>
  <c r="I8" i="12" s="1"/>
  <c r="E8" i="12"/>
  <c r="F8" i="12" s="1"/>
  <c r="K7" i="12"/>
  <c r="H7" i="12"/>
  <c r="I7" i="12" s="1"/>
  <c r="E7" i="12"/>
  <c r="F7" i="12" s="1"/>
  <c r="H5" i="12"/>
  <c r="E5" i="12"/>
  <c r="B5" i="12"/>
  <c r="A5" i="12"/>
  <c r="H4" i="12"/>
  <c r="E4" i="12"/>
  <c r="C4" i="12"/>
  <c r="B4" i="12"/>
  <c r="A4" i="12"/>
  <c r="H3" i="12"/>
  <c r="E3" i="12"/>
  <c r="C3" i="12"/>
  <c r="B3" i="12"/>
  <c r="A3" i="12"/>
  <c r="J6" i="12"/>
  <c r="H6" i="12"/>
  <c r="I6" i="12" s="1"/>
  <c r="E6" i="12"/>
  <c r="F6" i="12" s="1"/>
  <c r="C6" i="12"/>
  <c r="B6" i="12"/>
  <c r="A6" i="12"/>
  <c r="H2" i="12"/>
  <c r="E2" i="12"/>
  <c r="B2" i="12"/>
  <c r="A2" i="12"/>
  <c r="J100" i="11"/>
  <c r="K100" i="11" s="1"/>
  <c r="H100" i="11"/>
  <c r="I100" i="11" s="1"/>
  <c r="E100" i="11"/>
  <c r="F100" i="11" s="1"/>
  <c r="K99" i="11"/>
  <c r="J99" i="11"/>
  <c r="H99" i="11"/>
  <c r="I99" i="11" s="1"/>
  <c r="E99" i="11"/>
  <c r="F99" i="11" s="1"/>
  <c r="K98" i="11"/>
  <c r="J98" i="11"/>
  <c r="H98" i="11"/>
  <c r="I98" i="11" s="1"/>
  <c r="E98" i="11"/>
  <c r="F98" i="11" s="1"/>
  <c r="K97" i="11"/>
  <c r="J97" i="11"/>
  <c r="H97" i="11"/>
  <c r="I97" i="11" s="1"/>
  <c r="E97" i="11"/>
  <c r="F97" i="11" s="1"/>
  <c r="J96" i="11"/>
  <c r="K96" i="11" s="1"/>
  <c r="H96" i="11"/>
  <c r="I96" i="11" s="1"/>
  <c r="E96" i="11"/>
  <c r="F96" i="11" s="1"/>
  <c r="K95" i="11"/>
  <c r="J95" i="11"/>
  <c r="H95" i="11"/>
  <c r="I95" i="11" s="1"/>
  <c r="E95" i="11"/>
  <c r="F95" i="11" s="1"/>
  <c r="J94" i="11"/>
  <c r="K94" i="11" s="1"/>
  <c r="H94" i="11"/>
  <c r="I94" i="11" s="1"/>
  <c r="E94" i="11"/>
  <c r="F94" i="11" s="1"/>
  <c r="K93" i="11"/>
  <c r="J93" i="11"/>
  <c r="H93" i="11"/>
  <c r="I93" i="11" s="1"/>
  <c r="E93" i="11"/>
  <c r="F93" i="11" s="1"/>
  <c r="K92" i="11"/>
  <c r="J92" i="11"/>
  <c r="H92" i="11"/>
  <c r="I92" i="11" s="1"/>
  <c r="E92" i="11"/>
  <c r="F92" i="11" s="1"/>
  <c r="K91" i="11"/>
  <c r="J91" i="11"/>
  <c r="H91" i="11"/>
  <c r="I91" i="11" s="1"/>
  <c r="E91" i="11"/>
  <c r="F91" i="11" s="1"/>
  <c r="K90" i="11"/>
  <c r="J90" i="11"/>
  <c r="H90" i="11"/>
  <c r="I90" i="11" s="1"/>
  <c r="E90" i="11"/>
  <c r="F90" i="11" s="1"/>
  <c r="K89" i="11"/>
  <c r="J89" i="11"/>
  <c r="H89" i="11"/>
  <c r="I89" i="11" s="1"/>
  <c r="E89" i="11"/>
  <c r="F89" i="11" s="1"/>
  <c r="J88" i="11"/>
  <c r="K88" i="11" s="1"/>
  <c r="H88" i="11"/>
  <c r="I88" i="11" s="1"/>
  <c r="E88" i="11"/>
  <c r="F88" i="11" s="1"/>
  <c r="K87" i="11"/>
  <c r="J87" i="11"/>
  <c r="H87" i="11"/>
  <c r="I87" i="11" s="1"/>
  <c r="E87" i="11"/>
  <c r="F87" i="11" s="1"/>
  <c r="K86" i="11"/>
  <c r="J86" i="11"/>
  <c r="H86" i="11"/>
  <c r="I86" i="11" s="1"/>
  <c r="E86" i="11"/>
  <c r="F86" i="11" s="1"/>
  <c r="K85" i="11"/>
  <c r="J85" i="11"/>
  <c r="H85" i="11"/>
  <c r="I85" i="11" s="1"/>
  <c r="E85" i="11"/>
  <c r="F85" i="11" s="1"/>
  <c r="J84" i="11"/>
  <c r="K84" i="11" s="1"/>
  <c r="H84" i="11"/>
  <c r="I84" i="11" s="1"/>
  <c r="E84" i="11"/>
  <c r="F84" i="11" s="1"/>
  <c r="K83" i="11"/>
  <c r="J83" i="11"/>
  <c r="H83" i="11"/>
  <c r="I83" i="11" s="1"/>
  <c r="E83" i="11"/>
  <c r="F83" i="11" s="1"/>
  <c r="K82" i="11"/>
  <c r="J82" i="11"/>
  <c r="H82" i="11"/>
  <c r="I82" i="11" s="1"/>
  <c r="E82" i="11"/>
  <c r="F82" i="11" s="1"/>
  <c r="K81" i="11"/>
  <c r="J81" i="11"/>
  <c r="H81" i="11"/>
  <c r="I81" i="11" s="1"/>
  <c r="E81" i="11"/>
  <c r="F81" i="11" s="1"/>
  <c r="K80" i="11"/>
  <c r="J80" i="11"/>
  <c r="H80" i="11"/>
  <c r="I80" i="11" s="1"/>
  <c r="E80" i="11"/>
  <c r="F80" i="11" s="1"/>
  <c r="K79" i="11"/>
  <c r="J79" i="11"/>
  <c r="H79" i="11"/>
  <c r="I79" i="11" s="1"/>
  <c r="E79" i="11"/>
  <c r="F79" i="11" s="1"/>
  <c r="K78" i="11"/>
  <c r="J78" i="11"/>
  <c r="H78" i="11"/>
  <c r="I78" i="11" s="1"/>
  <c r="E78" i="11"/>
  <c r="F78" i="11" s="1"/>
  <c r="K77" i="11"/>
  <c r="J77" i="11"/>
  <c r="H77" i="11"/>
  <c r="I77" i="11" s="1"/>
  <c r="E77" i="11"/>
  <c r="F77" i="11" s="1"/>
  <c r="J76" i="11"/>
  <c r="K76" i="11" s="1"/>
  <c r="H76" i="11"/>
  <c r="I76" i="11" s="1"/>
  <c r="E76" i="11"/>
  <c r="F76" i="11" s="1"/>
  <c r="K75" i="11"/>
  <c r="J75" i="11"/>
  <c r="H75" i="11"/>
  <c r="I75" i="11" s="1"/>
  <c r="E75" i="11"/>
  <c r="F75" i="11" s="1"/>
  <c r="K74" i="11"/>
  <c r="J74" i="11"/>
  <c r="H74" i="11"/>
  <c r="I74" i="11" s="1"/>
  <c r="E74" i="11"/>
  <c r="F74" i="11" s="1"/>
  <c r="K73" i="11"/>
  <c r="J73" i="11"/>
  <c r="H73" i="11"/>
  <c r="I73" i="11" s="1"/>
  <c r="E73" i="11"/>
  <c r="F73" i="11" s="1"/>
  <c r="J72" i="11"/>
  <c r="K72" i="11" s="1"/>
  <c r="H72" i="11"/>
  <c r="I72" i="11" s="1"/>
  <c r="E72" i="11"/>
  <c r="F72" i="11" s="1"/>
  <c r="K71" i="11"/>
  <c r="J71" i="11"/>
  <c r="H71" i="11"/>
  <c r="I71" i="11" s="1"/>
  <c r="E71" i="11"/>
  <c r="F71" i="11" s="1"/>
  <c r="J70" i="11"/>
  <c r="K70" i="11" s="1"/>
  <c r="H70" i="11"/>
  <c r="I70" i="11" s="1"/>
  <c r="E70" i="11"/>
  <c r="F70" i="11" s="1"/>
  <c r="K69" i="11"/>
  <c r="J69" i="11"/>
  <c r="H69" i="11"/>
  <c r="I69" i="11" s="1"/>
  <c r="E69" i="11"/>
  <c r="F69" i="11" s="1"/>
  <c r="K68" i="11"/>
  <c r="J68" i="11"/>
  <c r="H68" i="11"/>
  <c r="I68" i="11" s="1"/>
  <c r="E68" i="11"/>
  <c r="F68" i="11" s="1"/>
  <c r="K67" i="11"/>
  <c r="J67" i="11"/>
  <c r="H67" i="11"/>
  <c r="I67" i="11" s="1"/>
  <c r="E67" i="11"/>
  <c r="F67" i="11" s="1"/>
  <c r="K66" i="11"/>
  <c r="J66" i="11"/>
  <c r="H66" i="11"/>
  <c r="I66" i="11" s="1"/>
  <c r="E66" i="11"/>
  <c r="F66" i="11" s="1"/>
  <c r="K65" i="11"/>
  <c r="J65" i="11"/>
  <c r="H65" i="11"/>
  <c r="I65" i="11" s="1"/>
  <c r="E65" i="11"/>
  <c r="F65" i="11" s="1"/>
  <c r="J64" i="11"/>
  <c r="K64" i="11" s="1"/>
  <c r="H64" i="11"/>
  <c r="I64" i="11" s="1"/>
  <c r="E64" i="11"/>
  <c r="F64" i="11" s="1"/>
  <c r="K63" i="11"/>
  <c r="J63" i="11"/>
  <c r="H63" i="11"/>
  <c r="I63" i="11" s="1"/>
  <c r="E63" i="11"/>
  <c r="F63" i="11" s="1"/>
  <c r="K62" i="11"/>
  <c r="J62" i="11"/>
  <c r="H62" i="11"/>
  <c r="I62" i="11" s="1"/>
  <c r="E62" i="11"/>
  <c r="F62" i="11" s="1"/>
  <c r="K61" i="11"/>
  <c r="J61" i="11"/>
  <c r="H61" i="11"/>
  <c r="I61" i="11" s="1"/>
  <c r="E61" i="11"/>
  <c r="F61" i="11" s="1"/>
  <c r="J60" i="11"/>
  <c r="K60" i="11" s="1"/>
  <c r="H60" i="11"/>
  <c r="I60" i="11" s="1"/>
  <c r="E60" i="11"/>
  <c r="F60" i="11" s="1"/>
  <c r="K59" i="11"/>
  <c r="J59" i="11"/>
  <c r="H59" i="11"/>
  <c r="I59" i="11" s="1"/>
  <c r="E59" i="11"/>
  <c r="F59" i="11" s="1"/>
  <c r="J58" i="11"/>
  <c r="K58" i="11" s="1"/>
  <c r="H58" i="11"/>
  <c r="I58" i="11" s="1"/>
  <c r="E58" i="11"/>
  <c r="F58" i="11" s="1"/>
  <c r="K57" i="11"/>
  <c r="J57" i="11"/>
  <c r="H57" i="11"/>
  <c r="I57" i="11" s="1"/>
  <c r="E57" i="11"/>
  <c r="F57" i="11" s="1"/>
  <c r="K56" i="11"/>
  <c r="J56" i="11"/>
  <c r="H56" i="11"/>
  <c r="I56" i="11" s="1"/>
  <c r="E56" i="11"/>
  <c r="F56" i="11" s="1"/>
  <c r="K55" i="11"/>
  <c r="H55" i="11"/>
  <c r="I55" i="11" s="1"/>
  <c r="E55" i="11"/>
  <c r="F55" i="11" s="1"/>
  <c r="K54" i="11"/>
  <c r="H54" i="11"/>
  <c r="I54" i="11" s="1"/>
  <c r="E54" i="11"/>
  <c r="F54" i="11" s="1"/>
  <c r="K53" i="11"/>
  <c r="H53" i="11"/>
  <c r="I53" i="11" s="1"/>
  <c r="E53" i="11"/>
  <c r="F53" i="11" s="1"/>
  <c r="K52" i="11"/>
  <c r="H52" i="11"/>
  <c r="I52" i="11" s="1"/>
  <c r="E52" i="11"/>
  <c r="F52" i="11" s="1"/>
  <c r="K51" i="11"/>
  <c r="H51" i="11"/>
  <c r="I51" i="11" s="1"/>
  <c r="E51" i="11"/>
  <c r="F51" i="11" s="1"/>
  <c r="K50" i="11"/>
  <c r="H50" i="11"/>
  <c r="I50" i="11" s="1"/>
  <c r="E50" i="11"/>
  <c r="F50" i="11" s="1"/>
  <c r="K49" i="11"/>
  <c r="H49" i="11"/>
  <c r="I49" i="11" s="1"/>
  <c r="E49" i="11"/>
  <c r="F49" i="11" s="1"/>
  <c r="K48" i="11"/>
  <c r="H48" i="11"/>
  <c r="I48" i="11" s="1"/>
  <c r="E48" i="11"/>
  <c r="F48" i="11" s="1"/>
  <c r="K47" i="11"/>
  <c r="H47" i="11"/>
  <c r="I47" i="11" s="1"/>
  <c r="E47" i="11"/>
  <c r="F47" i="11" s="1"/>
  <c r="K46" i="11"/>
  <c r="H46" i="11"/>
  <c r="I46" i="11" s="1"/>
  <c r="E46" i="11"/>
  <c r="F46" i="11" s="1"/>
  <c r="K45" i="11"/>
  <c r="H45" i="11"/>
  <c r="I45" i="11" s="1"/>
  <c r="E45" i="11"/>
  <c r="F45" i="11" s="1"/>
  <c r="K44" i="11"/>
  <c r="H44" i="11"/>
  <c r="I44" i="11" s="1"/>
  <c r="E44" i="11"/>
  <c r="F44" i="11" s="1"/>
  <c r="K43" i="11"/>
  <c r="H43" i="11"/>
  <c r="I43" i="11" s="1"/>
  <c r="E43" i="11"/>
  <c r="F43" i="11" s="1"/>
  <c r="K42" i="11"/>
  <c r="H42" i="11"/>
  <c r="I42" i="11" s="1"/>
  <c r="E42" i="11"/>
  <c r="F42" i="11" s="1"/>
  <c r="K41" i="11"/>
  <c r="H41" i="11"/>
  <c r="I41" i="11" s="1"/>
  <c r="E41" i="11"/>
  <c r="F41" i="11" s="1"/>
  <c r="K40" i="11"/>
  <c r="H40" i="11"/>
  <c r="I40" i="11" s="1"/>
  <c r="E40" i="11"/>
  <c r="F40" i="11" s="1"/>
  <c r="K39" i="11"/>
  <c r="H39" i="11"/>
  <c r="I39" i="11" s="1"/>
  <c r="E39" i="11"/>
  <c r="F39" i="11" s="1"/>
  <c r="K38" i="11"/>
  <c r="H38" i="11"/>
  <c r="I38" i="11" s="1"/>
  <c r="E38" i="11"/>
  <c r="F38" i="11" s="1"/>
  <c r="K37" i="11"/>
  <c r="H37" i="11"/>
  <c r="I37" i="11" s="1"/>
  <c r="E37" i="11"/>
  <c r="F37" i="11" s="1"/>
  <c r="K36" i="11"/>
  <c r="H36" i="11"/>
  <c r="I36" i="11" s="1"/>
  <c r="E36" i="11"/>
  <c r="F36" i="11" s="1"/>
  <c r="K35" i="11"/>
  <c r="H35" i="11"/>
  <c r="I35" i="11" s="1"/>
  <c r="E35" i="11"/>
  <c r="F35" i="11" s="1"/>
  <c r="K34" i="11"/>
  <c r="H34" i="11"/>
  <c r="I34" i="11" s="1"/>
  <c r="E34" i="11"/>
  <c r="F34" i="11" s="1"/>
  <c r="K33" i="11"/>
  <c r="H33" i="11"/>
  <c r="I33" i="11" s="1"/>
  <c r="E33" i="11"/>
  <c r="F33" i="11" s="1"/>
  <c r="K32" i="11"/>
  <c r="H32" i="11"/>
  <c r="I32" i="11" s="1"/>
  <c r="E32" i="11"/>
  <c r="F32" i="11" s="1"/>
  <c r="K31" i="11"/>
  <c r="H31" i="11"/>
  <c r="I31" i="11" s="1"/>
  <c r="E31" i="11"/>
  <c r="F31" i="11" s="1"/>
  <c r="K30" i="11"/>
  <c r="H30" i="11"/>
  <c r="I30" i="11" s="1"/>
  <c r="E30" i="11"/>
  <c r="F30" i="11" s="1"/>
  <c r="K29" i="11"/>
  <c r="H29" i="11"/>
  <c r="I29" i="11" s="1"/>
  <c r="E29" i="11"/>
  <c r="F29" i="11" s="1"/>
  <c r="K28" i="11"/>
  <c r="H28" i="11"/>
  <c r="I28" i="11" s="1"/>
  <c r="E28" i="11"/>
  <c r="F28" i="11" s="1"/>
  <c r="K27" i="11"/>
  <c r="H27" i="11"/>
  <c r="I27" i="11" s="1"/>
  <c r="E27" i="11"/>
  <c r="F27" i="11" s="1"/>
  <c r="K26" i="11"/>
  <c r="H26" i="11"/>
  <c r="I26" i="11" s="1"/>
  <c r="E26" i="11"/>
  <c r="F26" i="11" s="1"/>
  <c r="K25" i="11"/>
  <c r="H25" i="11"/>
  <c r="I25" i="11" s="1"/>
  <c r="E25" i="11"/>
  <c r="F25" i="11" s="1"/>
  <c r="K24" i="11"/>
  <c r="H24" i="11"/>
  <c r="I24" i="11" s="1"/>
  <c r="E24" i="11"/>
  <c r="F24" i="11" s="1"/>
  <c r="K23" i="11"/>
  <c r="H23" i="11"/>
  <c r="I23" i="11" s="1"/>
  <c r="E23" i="11"/>
  <c r="F23" i="11" s="1"/>
  <c r="K22" i="11"/>
  <c r="H22" i="11"/>
  <c r="I22" i="11" s="1"/>
  <c r="E22" i="11"/>
  <c r="F22" i="11" s="1"/>
  <c r="K21" i="11"/>
  <c r="H21" i="11"/>
  <c r="I21" i="11" s="1"/>
  <c r="E21" i="11"/>
  <c r="F21" i="11" s="1"/>
  <c r="K20" i="11"/>
  <c r="H20" i="11"/>
  <c r="I20" i="11" s="1"/>
  <c r="E20" i="11"/>
  <c r="F20" i="11" s="1"/>
  <c r="K19" i="11"/>
  <c r="H19" i="11"/>
  <c r="I19" i="11" s="1"/>
  <c r="E19" i="11"/>
  <c r="F19" i="11" s="1"/>
  <c r="K18" i="11"/>
  <c r="H18" i="11"/>
  <c r="I18" i="11" s="1"/>
  <c r="E18" i="11"/>
  <c r="F18" i="11" s="1"/>
  <c r="K17" i="11"/>
  <c r="H17" i="11"/>
  <c r="I17" i="11" s="1"/>
  <c r="E17" i="11"/>
  <c r="F17" i="11" s="1"/>
  <c r="K16" i="11"/>
  <c r="H16" i="11"/>
  <c r="I16" i="11" s="1"/>
  <c r="E16" i="11"/>
  <c r="F16" i="11" s="1"/>
  <c r="K15" i="11"/>
  <c r="H15" i="11"/>
  <c r="I15" i="11" s="1"/>
  <c r="E15" i="11"/>
  <c r="F15" i="11" s="1"/>
  <c r="H14" i="11"/>
  <c r="I14" i="11" s="1"/>
  <c r="E14" i="11"/>
  <c r="F14" i="11" s="1"/>
  <c r="K13" i="11"/>
  <c r="H13" i="11"/>
  <c r="I13" i="11" s="1"/>
  <c r="E13" i="11"/>
  <c r="F13" i="11" s="1"/>
  <c r="K12" i="11"/>
  <c r="H12" i="11"/>
  <c r="I12" i="11" s="1"/>
  <c r="E12" i="11"/>
  <c r="F12" i="11" s="1"/>
  <c r="K11" i="11"/>
  <c r="H11" i="11"/>
  <c r="I11" i="11" s="1"/>
  <c r="E11" i="11"/>
  <c r="F11" i="11" s="1"/>
  <c r="K10" i="11"/>
  <c r="H10" i="11"/>
  <c r="I10" i="11" s="1"/>
  <c r="E10" i="11"/>
  <c r="F10" i="11" s="1"/>
  <c r="K9" i="11"/>
  <c r="H9" i="11"/>
  <c r="I9" i="11" s="1"/>
  <c r="E9" i="11"/>
  <c r="F9" i="11" s="1"/>
  <c r="K8" i="11"/>
  <c r="H8" i="11"/>
  <c r="I8" i="11" s="1"/>
  <c r="E8" i="11"/>
  <c r="F8" i="11" s="1"/>
  <c r="K7" i="11"/>
  <c r="H7" i="11"/>
  <c r="I7" i="11" s="1"/>
  <c r="E7" i="11"/>
  <c r="F7" i="11" s="1"/>
  <c r="K6" i="11"/>
  <c r="H6" i="11"/>
  <c r="I6" i="11" s="1"/>
  <c r="E6" i="11"/>
  <c r="F6" i="11" s="1"/>
  <c r="K5" i="11"/>
  <c r="H5" i="11"/>
  <c r="I5" i="11" s="1"/>
  <c r="E5" i="11"/>
  <c r="F5" i="11" s="1"/>
  <c r="K4" i="11"/>
  <c r="H4" i="11"/>
  <c r="I4" i="11" s="1"/>
  <c r="E4" i="11"/>
  <c r="F4" i="11" s="1"/>
  <c r="K3" i="11"/>
  <c r="H3" i="11"/>
  <c r="I3" i="11" s="1"/>
  <c r="E3" i="11"/>
  <c r="F3" i="11" s="1"/>
  <c r="H2" i="11"/>
  <c r="E2" i="11"/>
  <c r="C2" i="11"/>
  <c r="B2" i="11"/>
  <c r="A2" i="11"/>
  <c r="J100" i="10"/>
  <c r="K100" i="10" s="1"/>
  <c r="H100" i="10"/>
  <c r="I100" i="10" s="1"/>
  <c r="E100" i="10"/>
  <c r="F100" i="10" s="1"/>
  <c r="J99" i="10"/>
  <c r="K99" i="10" s="1"/>
  <c r="H99" i="10"/>
  <c r="I99" i="10" s="1"/>
  <c r="E99" i="10"/>
  <c r="F99" i="10" s="1"/>
  <c r="J98" i="10"/>
  <c r="K98" i="10" s="1"/>
  <c r="H98" i="10"/>
  <c r="I98" i="10" s="1"/>
  <c r="E98" i="10"/>
  <c r="F98" i="10" s="1"/>
  <c r="K97" i="10"/>
  <c r="J97" i="10"/>
  <c r="H97" i="10"/>
  <c r="I97" i="10" s="1"/>
  <c r="E97" i="10"/>
  <c r="F97" i="10" s="1"/>
  <c r="K96" i="10"/>
  <c r="J96" i="10"/>
  <c r="H96" i="10"/>
  <c r="I96" i="10" s="1"/>
  <c r="E96" i="10"/>
  <c r="F96" i="10" s="1"/>
  <c r="K95" i="10"/>
  <c r="J95" i="10"/>
  <c r="H95" i="10"/>
  <c r="I95" i="10" s="1"/>
  <c r="E95" i="10"/>
  <c r="F95" i="10" s="1"/>
  <c r="J94" i="10"/>
  <c r="K94" i="10" s="1"/>
  <c r="H94" i="10"/>
  <c r="I94" i="10" s="1"/>
  <c r="E94" i="10"/>
  <c r="F94" i="10" s="1"/>
  <c r="J93" i="10"/>
  <c r="K93" i="10" s="1"/>
  <c r="H93" i="10"/>
  <c r="I93" i="10" s="1"/>
  <c r="E93" i="10"/>
  <c r="F93" i="10" s="1"/>
  <c r="K92" i="10"/>
  <c r="J92" i="10"/>
  <c r="H92" i="10"/>
  <c r="I92" i="10" s="1"/>
  <c r="E92" i="10"/>
  <c r="F92" i="10" s="1"/>
  <c r="J91" i="10"/>
  <c r="K91" i="10" s="1"/>
  <c r="H91" i="10"/>
  <c r="I91" i="10" s="1"/>
  <c r="E91" i="10"/>
  <c r="F91" i="10" s="1"/>
  <c r="K90" i="10"/>
  <c r="J90" i="10"/>
  <c r="H90" i="10"/>
  <c r="I90" i="10" s="1"/>
  <c r="E90" i="10"/>
  <c r="F90" i="10" s="1"/>
  <c r="K89" i="10"/>
  <c r="J89" i="10"/>
  <c r="H89" i="10"/>
  <c r="I89" i="10" s="1"/>
  <c r="E89" i="10"/>
  <c r="F89" i="10" s="1"/>
  <c r="J88" i="10"/>
  <c r="K88" i="10" s="1"/>
  <c r="H88" i="10"/>
  <c r="I88" i="10" s="1"/>
  <c r="E88" i="10"/>
  <c r="F88" i="10" s="1"/>
  <c r="J87" i="10"/>
  <c r="K87" i="10" s="1"/>
  <c r="H87" i="10"/>
  <c r="I87" i="10" s="1"/>
  <c r="E87" i="10"/>
  <c r="F87" i="10" s="1"/>
  <c r="J86" i="10"/>
  <c r="K86" i="10" s="1"/>
  <c r="H86" i="10"/>
  <c r="I86" i="10" s="1"/>
  <c r="E86" i="10"/>
  <c r="F86" i="10" s="1"/>
  <c r="K85" i="10"/>
  <c r="J85" i="10"/>
  <c r="H85" i="10"/>
  <c r="I85" i="10" s="1"/>
  <c r="E85" i="10"/>
  <c r="F85" i="10" s="1"/>
  <c r="K84" i="10"/>
  <c r="J84" i="10"/>
  <c r="H84" i="10"/>
  <c r="I84" i="10" s="1"/>
  <c r="E84" i="10"/>
  <c r="F84" i="10" s="1"/>
  <c r="K83" i="10"/>
  <c r="J83" i="10"/>
  <c r="H83" i="10"/>
  <c r="I83" i="10" s="1"/>
  <c r="E83" i="10"/>
  <c r="F83" i="10" s="1"/>
  <c r="J82" i="10"/>
  <c r="K82" i="10" s="1"/>
  <c r="H82" i="10"/>
  <c r="I82" i="10" s="1"/>
  <c r="E82" i="10"/>
  <c r="F82" i="10" s="1"/>
  <c r="J81" i="10"/>
  <c r="K81" i="10" s="1"/>
  <c r="H81" i="10"/>
  <c r="I81" i="10" s="1"/>
  <c r="E81" i="10"/>
  <c r="F81" i="10" s="1"/>
  <c r="K80" i="10"/>
  <c r="J80" i="10"/>
  <c r="H80" i="10"/>
  <c r="I80" i="10" s="1"/>
  <c r="E80" i="10"/>
  <c r="F80" i="10" s="1"/>
  <c r="J79" i="10"/>
  <c r="K79" i="10" s="1"/>
  <c r="H79" i="10"/>
  <c r="I79" i="10" s="1"/>
  <c r="E79" i="10"/>
  <c r="F79" i="10" s="1"/>
  <c r="K78" i="10"/>
  <c r="J78" i="10"/>
  <c r="H78" i="10"/>
  <c r="I78" i="10" s="1"/>
  <c r="E78" i="10"/>
  <c r="F78" i="10" s="1"/>
  <c r="K77" i="10"/>
  <c r="J77" i="10"/>
  <c r="H77" i="10"/>
  <c r="I77" i="10" s="1"/>
  <c r="E77" i="10"/>
  <c r="F77" i="10" s="1"/>
  <c r="J76" i="10"/>
  <c r="K76" i="10" s="1"/>
  <c r="H76" i="10"/>
  <c r="I76" i="10" s="1"/>
  <c r="E76" i="10"/>
  <c r="F76" i="10" s="1"/>
  <c r="J75" i="10"/>
  <c r="K75" i="10" s="1"/>
  <c r="H75" i="10"/>
  <c r="I75" i="10" s="1"/>
  <c r="E75" i="10"/>
  <c r="F75" i="10" s="1"/>
  <c r="J74" i="10"/>
  <c r="K74" i="10" s="1"/>
  <c r="H74" i="10"/>
  <c r="I74" i="10" s="1"/>
  <c r="E74" i="10"/>
  <c r="F74" i="10" s="1"/>
  <c r="K73" i="10"/>
  <c r="J73" i="10"/>
  <c r="H73" i="10"/>
  <c r="I73" i="10" s="1"/>
  <c r="E73" i="10"/>
  <c r="F73" i="10" s="1"/>
  <c r="K72" i="10"/>
  <c r="J72" i="10"/>
  <c r="H72" i="10"/>
  <c r="I72" i="10" s="1"/>
  <c r="E72" i="10"/>
  <c r="F72" i="10" s="1"/>
  <c r="K71" i="10"/>
  <c r="J71" i="10"/>
  <c r="H71" i="10"/>
  <c r="I71" i="10" s="1"/>
  <c r="E71" i="10"/>
  <c r="F71" i="10" s="1"/>
  <c r="J70" i="10"/>
  <c r="K70" i="10" s="1"/>
  <c r="H70" i="10"/>
  <c r="I70" i="10" s="1"/>
  <c r="E70" i="10"/>
  <c r="F70" i="10" s="1"/>
  <c r="J69" i="10"/>
  <c r="K69" i="10" s="1"/>
  <c r="H69" i="10"/>
  <c r="I69" i="10" s="1"/>
  <c r="E69" i="10"/>
  <c r="F69" i="10" s="1"/>
  <c r="K68" i="10"/>
  <c r="J68" i="10"/>
  <c r="H68" i="10"/>
  <c r="I68" i="10" s="1"/>
  <c r="E68" i="10"/>
  <c r="F68" i="10" s="1"/>
  <c r="J67" i="10"/>
  <c r="K67" i="10" s="1"/>
  <c r="H67" i="10"/>
  <c r="I67" i="10" s="1"/>
  <c r="E67" i="10"/>
  <c r="F67" i="10" s="1"/>
  <c r="K66" i="10"/>
  <c r="J66" i="10"/>
  <c r="H66" i="10"/>
  <c r="I66" i="10" s="1"/>
  <c r="E66" i="10"/>
  <c r="F66" i="10" s="1"/>
  <c r="K65" i="10"/>
  <c r="J65" i="10"/>
  <c r="H65" i="10"/>
  <c r="I65" i="10" s="1"/>
  <c r="E65" i="10"/>
  <c r="F65" i="10" s="1"/>
  <c r="J64" i="10"/>
  <c r="K64" i="10" s="1"/>
  <c r="H64" i="10"/>
  <c r="I64" i="10" s="1"/>
  <c r="E64" i="10"/>
  <c r="F64" i="10" s="1"/>
  <c r="J63" i="10"/>
  <c r="K63" i="10" s="1"/>
  <c r="H63" i="10"/>
  <c r="I63" i="10" s="1"/>
  <c r="E63" i="10"/>
  <c r="F63" i="10" s="1"/>
  <c r="J62" i="10"/>
  <c r="K62" i="10" s="1"/>
  <c r="H62" i="10"/>
  <c r="I62" i="10" s="1"/>
  <c r="E62" i="10"/>
  <c r="F62" i="10" s="1"/>
  <c r="K61" i="10"/>
  <c r="J61" i="10"/>
  <c r="H61" i="10"/>
  <c r="I61" i="10" s="1"/>
  <c r="E61" i="10"/>
  <c r="F61" i="10" s="1"/>
  <c r="K60" i="10"/>
  <c r="J60" i="10"/>
  <c r="H60" i="10"/>
  <c r="I60" i="10" s="1"/>
  <c r="E60" i="10"/>
  <c r="F60" i="10" s="1"/>
  <c r="K59" i="10"/>
  <c r="J59" i="10"/>
  <c r="H59" i="10"/>
  <c r="I59" i="10" s="1"/>
  <c r="E59" i="10"/>
  <c r="F59" i="10" s="1"/>
  <c r="J58" i="10"/>
  <c r="K58" i="10" s="1"/>
  <c r="H58" i="10"/>
  <c r="I58" i="10" s="1"/>
  <c r="E58" i="10"/>
  <c r="F58" i="10" s="1"/>
  <c r="J57" i="10"/>
  <c r="K57" i="10" s="1"/>
  <c r="H57" i="10"/>
  <c r="I57" i="10" s="1"/>
  <c r="E57" i="10"/>
  <c r="F57" i="10" s="1"/>
  <c r="K56" i="10"/>
  <c r="J56" i="10"/>
  <c r="H56" i="10"/>
  <c r="I56" i="10" s="1"/>
  <c r="E56" i="10"/>
  <c r="F56" i="10" s="1"/>
  <c r="J55" i="10"/>
  <c r="K55" i="10" s="1"/>
  <c r="H55" i="10"/>
  <c r="I55" i="10" s="1"/>
  <c r="E55" i="10"/>
  <c r="F55" i="10" s="1"/>
  <c r="K54" i="10"/>
  <c r="J54" i="10"/>
  <c r="H54" i="10"/>
  <c r="I54" i="10" s="1"/>
  <c r="E54" i="10"/>
  <c r="F54" i="10" s="1"/>
  <c r="K53" i="10"/>
  <c r="J53" i="10"/>
  <c r="H53" i="10"/>
  <c r="I53" i="10" s="1"/>
  <c r="E53" i="10"/>
  <c r="F53" i="10" s="1"/>
  <c r="J52" i="10"/>
  <c r="K52" i="10" s="1"/>
  <c r="H52" i="10"/>
  <c r="I52" i="10" s="1"/>
  <c r="E52" i="10"/>
  <c r="F52" i="10" s="1"/>
  <c r="J51" i="10"/>
  <c r="K51" i="10" s="1"/>
  <c r="H51" i="10"/>
  <c r="I51" i="10" s="1"/>
  <c r="E51" i="10"/>
  <c r="F51" i="10" s="1"/>
  <c r="J50" i="10"/>
  <c r="K50" i="10" s="1"/>
  <c r="H50" i="10"/>
  <c r="I50" i="10" s="1"/>
  <c r="E50" i="10"/>
  <c r="F50" i="10" s="1"/>
  <c r="K49" i="10"/>
  <c r="J49" i="10"/>
  <c r="H49" i="10"/>
  <c r="I49" i="10" s="1"/>
  <c r="E49" i="10"/>
  <c r="F49" i="10" s="1"/>
  <c r="K48" i="10"/>
  <c r="J48" i="10"/>
  <c r="H48" i="10"/>
  <c r="I48" i="10" s="1"/>
  <c r="E48" i="10"/>
  <c r="F48" i="10" s="1"/>
  <c r="K47" i="10"/>
  <c r="J47" i="10"/>
  <c r="H47" i="10"/>
  <c r="I47" i="10" s="1"/>
  <c r="E47" i="10"/>
  <c r="F47" i="10" s="1"/>
  <c r="J46" i="10"/>
  <c r="K46" i="10" s="1"/>
  <c r="H46" i="10"/>
  <c r="I46" i="10" s="1"/>
  <c r="E46" i="10"/>
  <c r="F46" i="10" s="1"/>
  <c r="J45" i="10"/>
  <c r="K45" i="10" s="1"/>
  <c r="H45" i="10"/>
  <c r="I45" i="10" s="1"/>
  <c r="E45" i="10"/>
  <c r="F45" i="10" s="1"/>
  <c r="K44" i="10"/>
  <c r="J44" i="10"/>
  <c r="H44" i="10"/>
  <c r="I44" i="10" s="1"/>
  <c r="E44" i="10"/>
  <c r="F44" i="10" s="1"/>
  <c r="J43" i="10"/>
  <c r="K43" i="10" s="1"/>
  <c r="H43" i="10"/>
  <c r="I43" i="10" s="1"/>
  <c r="E43" i="10"/>
  <c r="F43" i="10" s="1"/>
  <c r="K42" i="10"/>
  <c r="J42" i="10"/>
  <c r="H42" i="10"/>
  <c r="I42" i="10" s="1"/>
  <c r="E42" i="10"/>
  <c r="F42" i="10" s="1"/>
  <c r="K41" i="10"/>
  <c r="J41" i="10"/>
  <c r="H41" i="10"/>
  <c r="I41" i="10" s="1"/>
  <c r="E41" i="10"/>
  <c r="F41" i="10" s="1"/>
  <c r="J40" i="10"/>
  <c r="K40" i="10" s="1"/>
  <c r="H40" i="10"/>
  <c r="I40" i="10" s="1"/>
  <c r="E40" i="10"/>
  <c r="F40" i="10" s="1"/>
  <c r="J39" i="10"/>
  <c r="K39" i="10" s="1"/>
  <c r="H39" i="10"/>
  <c r="I39" i="10" s="1"/>
  <c r="E39" i="10"/>
  <c r="F39" i="10" s="1"/>
  <c r="J38" i="10"/>
  <c r="K38" i="10" s="1"/>
  <c r="H38" i="10"/>
  <c r="I38" i="10" s="1"/>
  <c r="E38" i="10"/>
  <c r="F38" i="10" s="1"/>
  <c r="K37" i="10"/>
  <c r="J37" i="10"/>
  <c r="H37" i="10"/>
  <c r="I37" i="10" s="1"/>
  <c r="E37" i="10"/>
  <c r="F37" i="10" s="1"/>
  <c r="K36" i="10"/>
  <c r="J36" i="10"/>
  <c r="H36" i="10"/>
  <c r="I36" i="10" s="1"/>
  <c r="E36" i="10"/>
  <c r="F36" i="10" s="1"/>
  <c r="K35" i="10"/>
  <c r="J35" i="10"/>
  <c r="H35" i="10"/>
  <c r="I35" i="10" s="1"/>
  <c r="E35" i="10"/>
  <c r="F35" i="10" s="1"/>
  <c r="J34" i="10"/>
  <c r="K34" i="10" s="1"/>
  <c r="H34" i="10"/>
  <c r="I34" i="10" s="1"/>
  <c r="E34" i="10"/>
  <c r="F34" i="10" s="1"/>
  <c r="J33" i="10"/>
  <c r="K33" i="10" s="1"/>
  <c r="H33" i="10"/>
  <c r="I33" i="10" s="1"/>
  <c r="E33" i="10"/>
  <c r="F33" i="10" s="1"/>
  <c r="J32" i="10"/>
  <c r="K32" i="10" s="1"/>
  <c r="H32" i="10"/>
  <c r="I32" i="10" s="1"/>
  <c r="E32" i="10"/>
  <c r="F32" i="10" s="1"/>
  <c r="J31" i="10"/>
  <c r="K31" i="10" s="1"/>
  <c r="H31" i="10"/>
  <c r="I31" i="10" s="1"/>
  <c r="E31" i="10"/>
  <c r="F31" i="10" s="1"/>
  <c r="K30" i="10"/>
  <c r="J30" i="10"/>
  <c r="H30" i="10"/>
  <c r="I30" i="10" s="1"/>
  <c r="E30" i="10"/>
  <c r="F30" i="10" s="1"/>
  <c r="K29" i="10"/>
  <c r="J29" i="10"/>
  <c r="H29" i="10"/>
  <c r="I29" i="10" s="1"/>
  <c r="E29" i="10"/>
  <c r="F29" i="10" s="1"/>
  <c r="J28" i="10"/>
  <c r="K28" i="10" s="1"/>
  <c r="H28" i="10"/>
  <c r="I28" i="10" s="1"/>
  <c r="E28" i="10"/>
  <c r="F28" i="10" s="1"/>
  <c r="K27" i="10"/>
  <c r="H27" i="10"/>
  <c r="I27" i="10" s="1"/>
  <c r="E27" i="10"/>
  <c r="F27" i="10" s="1"/>
  <c r="H26" i="10"/>
  <c r="I26" i="10" s="1"/>
  <c r="E26" i="10"/>
  <c r="F26" i="10" s="1"/>
  <c r="K25" i="10"/>
  <c r="H25" i="10"/>
  <c r="I25" i="10" s="1"/>
  <c r="E25" i="10"/>
  <c r="F25" i="10" s="1"/>
  <c r="H24" i="10"/>
  <c r="I24" i="10" s="1"/>
  <c r="E24" i="10"/>
  <c r="F24" i="10" s="1"/>
  <c r="K23" i="10"/>
  <c r="H23" i="10"/>
  <c r="I23" i="10" s="1"/>
  <c r="E23" i="10"/>
  <c r="F23" i="10" s="1"/>
  <c r="K22" i="10"/>
  <c r="H22" i="10"/>
  <c r="I22" i="10" s="1"/>
  <c r="E22" i="10"/>
  <c r="F22" i="10" s="1"/>
  <c r="K21" i="10"/>
  <c r="H21" i="10"/>
  <c r="I21" i="10" s="1"/>
  <c r="E21" i="10"/>
  <c r="F21" i="10" s="1"/>
  <c r="K20" i="10"/>
  <c r="H20" i="10"/>
  <c r="I20" i="10" s="1"/>
  <c r="E20" i="10"/>
  <c r="F20" i="10" s="1"/>
  <c r="K19" i="10"/>
  <c r="H19" i="10"/>
  <c r="I19" i="10" s="1"/>
  <c r="E19" i="10"/>
  <c r="F19" i="10" s="1"/>
  <c r="K18" i="10"/>
  <c r="H18" i="10"/>
  <c r="I18" i="10" s="1"/>
  <c r="E18" i="10"/>
  <c r="F18" i="10" s="1"/>
  <c r="K17" i="10"/>
  <c r="H17" i="10"/>
  <c r="I17" i="10" s="1"/>
  <c r="E17" i="10"/>
  <c r="F17" i="10" s="1"/>
  <c r="K16" i="10"/>
  <c r="H16" i="10"/>
  <c r="I16" i="10" s="1"/>
  <c r="E16" i="10"/>
  <c r="F16" i="10" s="1"/>
  <c r="K15" i="10"/>
  <c r="H15" i="10"/>
  <c r="I15" i="10" s="1"/>
  <c r="E15" i="10"/>
  <c r="F15" i="10" s="1"/>
  <c r="H14" i="10"/>
  <c r="I14" i="10" s="1"/>
  <c r="E14" i="10"/>
  <c r="F14" i="10" s="1"/>
  <c r="K13" i="10"/>
  <c r="H13" i="10"/>
  <c r="I13" i="10" s="1"/>
  <c r="E13" i="10"/>
  <c r="F13" i="10" s="1"/>
  <c r="H12" i="10"/>
  <c r="I12" i="10" s="1"/>
  <c r="E12" i="10"/>
  <c r="F12" i="10" s="1"/>
  <c r="K11" i="10"/>
  <c r="H11" i="10"/>
  <c r="I11" i="10" s="1"/>
  <c r="E11" i="10"/>
  <c r="F11" i="10" s="1"/>
  <c r="K10" i="10"/>
  <c r="H10" i="10"/>
  <c r="I10" i="10" s="1"/>
  <c r="E10" i="10"/>
  <c r="F10" i="10" s="1"/>
  <c r="K9" i="10"/>
  <c r="H9" i="10"/>
  <c r="I9" i="10" s="1"/>
  <c r="E9" i="10"/>
  <c r="F9" i="10" s="1"/>
  <c r="K8" i="10"/>
  <c r="H8" i="10"/>
  <c r="I8" i="10" s="1"/>
  <c r="E8" i="10"/>
  <c r="F8" i="10" s="1"/>
  <c r="K7" i="10"/>
  <c r="H7" i="10"/>
  <c r="I7" i="10" s="1"/>
  <c r="E7" i="10"/>
  <c r="F7" i="10" s="1"/>
  <c r="H6" i="10"/>
  <c r="I6" i="10" s="1"/>
  <c r="E6" i="10"/>
  <c r="F6" i="10" s="1"/>
  <c r="H2" i="10"/>
  <c r="E2" i="10"/>
  <c r="C2" i="10"/>
  <c r="B2" i="10"/>
  <c r="A2" i="10"/>
  <c r="H3" i="10"/>
  <c r="E3" i="10"/>
  <c r="C3" i="10"/>
  <c r="B3" i="10"/>
  <c r="A3" i="10"/>
  <c r="H5" i="10"/>
  <c r="I5" i="10" s="1"/>
  <c r="E5" i="10"/>
  <c r="F5" i="10" s="1"/>
  <c r="C5" i="10"/>
  <c r="B5" i="10"/>
  <c r="A5" i="10"/>
  <c r="H4" i="10"/>
  <c r="I4" i="10" s="1"/>
  <c r="E4" i="10"/>
  <c r="F4" i="10" s="1"/>
  <c r="C4" i="10"/>
  <c r="B4" i="10"/>
  <c r="A4" i="10"/>
  <c r="J100" i="9"/>
  <c r="K100" i="9" s="1"/>
  <c r="H100" i="9"/>
  <c r="I100" i="9" s="1"/>
  <c r="E100" i="9"/>
  <c r="F100" i="9" s="1"/>
  <c r="J99" i="9"/>
  <c r="K99" i="9" s="1"/>
  <c r="H99" i="9"/>
  <c r="I99" i="9" s="1"/>
  <c r="E99" i="9"/>
  <c r="F99" i="9" s="1"/>
  <c r="J98" i="9"/>
  <c r="K98" i="9" s="1"/>
  <c r="H98" i="9"/>
  <c r="I98" i="9" s="1"/>
  <c r="E98" i="9"/>
  <c r="F98" i="9" s="1"/>
  <c r="J97" i="9"/>
  <c r="K97" i="9" s="1"/>
  <c r="H97" i="9"/>
  <c r="I97" i="9" s="1"/>
  <c r="E97" i="9"/>
  <c r="F97" i="9" s="1"/>
  <c r="J96" i="9"/>
  <c r="K96" i="9" s="1"/>
  <c r="H96" i="9"/>
  <c r="I96" i="9" s="1"/>
  <c r="E96" i="9"/>
  <c r="F96" i="9" s="1"/>
  <c r="K95" i="9"/>
  <c r="H95" i="9"/>
  <c r="I95" i="9" s="1"/>
  <c r="E95" i="9"/>
  <c r="F95" i="9" s="1"/>
  <c r="K94" i="9"/>
  <c r="H94" i="9"/>
  <c r="I94" i="9" s="1"/>
  <c r="E94" i="9"/>
  <c r="F94" i="9" s="1"/>
  <c r="K93" i="9"/>
  <c r="H93" i="9"/>
  <c r="I93" i="9" s="1"/>
  <c r="E93" i="9"/>
  <c r="F93" i="9" s="1"/>
  <c r="K92" i="9"/>
  <c r="H92" i="9"/>
  <c r="I92" i="9" s="1"/>
  <c r="E92" i="9"/>
  <c r="F92" i="9" s="1"/>
  <c r="K91" i="9"/>
  <c r="H91" i="9"/>
  <c r="I91" i="9" s="1"/>
  <c r="E91" i="9"/>
  <c r="F91" i="9" s="1"/>
  <c r="K90" i="9"/>
  <c r="H90" i="9"/>
  <c r="I90" i="9" s="1"/>
  <c r="E90" i="9"/>
  <c r="F90" i="9" s="1"/>
  <c r="K89" i="9"/>
  <c r="H89" i="9"/>
  <c r="I89" i="9" s="1"/>
  <c r="E89" i="9"/>
  <c r="F89" i="9" s="1"/>
  <c r="K88" i="9"/>
  <c r="H88" i="9"/>
  <c r="I88" i="9" s="1"/>
  <c r="E88" i="9"/>
  <c r="F88" i="9" s="1"/>
  <c r="K87" i="9"/>
  <c r="H87" i="9"/>
  <c r="I87" i="9" s="1"/>
  <c r="E87" i="9"/>
  <c r="F87" i="9" s="1"/>
  <c r="K86" i="9"/>
  <c r="H86" i="9"/>
  <c r="I86" i="9" s="1"/>
  <c r="E86" i="9"/>
  <c r="F86" i="9" s="1"/>
  <c r="K85" i="9"/>
  <c r="H85" i="9"/>
  <c r="I85" i="9" s="1"/>
  <c r="E85" i="9"/>
  <c r="F85" i="9" s="1"/>
  <c r="K84" i="9"/>
  <c r="H84" i="9"/>
  <c r="I84" i="9" s="1"/>
  <c r="E84" i="9"/>
  <c r="F84" i="9" s="1"/>
  <c r="K83" i="9"/>
  <c r="H83" i="9"/>
  <c r="I83" i="9" s="1"/>
  <c r="E83" i="9"/>
  <c r="F83" i="9" s="1"/>
  <c r="K82" i="9"/>
  <c r="H82" i="9"/>
  <c r="I82" i="9" s="1"/>
  <c r="E82" i="9"/>
  <c r="F82" i="9" s="1"/>
  <c r="K81" i="9"/>
  <c r="H81" i="9"/>
  <c r="I81" i="9" s="1"/>
  <c r="E81" i="9"/>
  <c r="F81" i="9" s="1"/>
  <c r="K80" i="9"/>
  <c r="H80" i="9"/>
  <c r="I80" i="9" s="1"/>
  <c r="E80" i="9"/>
  <c r="F80" i="9" s="1"/>
  <c r="K79" i="9"/>
  <c r="H79" i="9"/>
  <c r="I79" i="9" s="1"/>
  <c r="E79" i="9"/>
  <c r="F79" i="9" s="1"/>
  <c r="K78" i="9"/>
  <c r="H78" i="9"/>
  <c r="I78" i="9" s="1"/>
  <c r="E78" i="9"/>
  <c r="F78" i="9" s="1"/>
  <c r="K77" i="9"/>
  <c r="H77" i="9"/>
  <c r="I77" i="9" s="1"/>
  <c r="E77" i="9"/>
  <c r="F77" i="9" s="1"/>
  <c r="K76" i="9"/>
  <c r="H76" i="9"/>
  <c r="I76" i="9" s="1"/>
  <c r="E76" i="9"/>
  <c r="F76" i="9" s="1"/>
  <c r="K75" i="9"/>
  <c r="H75" i="9"/>
  <c r="I75" i="9" s="1"/>
  <c r="E75" i="9"/>
  <c r="F75" i="9" s="1"/>
  <c r="K74" i="9"/>
  <c r="H74" i="9"/>
  <c r="I74" i="9" s="1"/>
  <c r="E74" i="9"/>
  <c r="F74" i="9" s="1"/>
  <c r="K73" i="9"/>
  <c r="H73" i="9"/>
  <c r="I73" i="9" s="1"/>
  <c r="E73" i="9"/>
  <c r="F73" i="9" s="1"/>
  <c r="K72" i="9"/>
  <c r="H72" i="9"/>
  <c r="I72" i="9" s="1"/>
  <c r="E72" i="9"/>
  <c r="F72" i="9" s="1"/>
  <c r="K71" i="9"/>
  <c r="H71" i="9"/>
  <c r="I71" i="9" s="1"/>
  <c r="E71" i="9"/>
  <c r="F71" i="9" s="1"/>
  <c r="K70" i="9"/>
  <c r="H70" i="9"/>
  <c r="I70" i="9" s="1"/>
  <c r="E70" i="9"/>
  <c r="F70" i="9" s="1"/>
  <c r="K69" i="9"/>
  <c r="H69" i="9"/>
  <c r="I69" i="9" s="1"/>
  <c r="E69" i="9"/>
  <c r="F69" i="9" s="1"/>
  <c r="K68" i="9"/>
  <c r="H68" i="9"/>
  <c r="I68" i="9" s="1"/>
  <c r="E68" i="9"/>
  <c r="F68" i="9" s="1"/>
  <c r="K67" i="9"/>
  <c r="H67" i="9"/>
  <c r="I67" i="9" s="1"/>
  <c r="E67" i="9"/>
  <c r="F67" i="9" s="1"/>
  <c r="K66" i="9"/>
  <c r="H66" i="9"/>
  <c r="I66" i="9" s="1"/>
  <c r="E66" i="9"/>
  <c r="F66" i="9" s="1"/>
  <c r="K65" i="9"/>
  <c r="H65" i="9"/>
  <c r="I65" i="9" s="1"/>
  <c r="E65" i="9"/>
  <c r="F65" i="9" s="1"/>
  <c r="K64" i="9"/>
  <c r="H64" i="9"/>
  <c r="I64" i="9" s="1"/>
  <c r="E64" i="9"/>
  <c r="F64" i="9" s="1"/>
  <c r="K63" i="9"/>
  <c r="H63" i="9"/>
  <c r="I63" i="9" s="1"/>
  <c r="E63" i="9"/>
  <c r="F63" i="9" s="1"/>
  <c r="K62" i="9"/>
  <c r="H62" i="9"/>
  <c r="I62" i="9" s="1"/>
  <c r="E62" i="9"/>
  <c r="F62" i="9" s="1"/>
  <c r="K61" i="9"/>
  <c r="H61" i="9"/>
  <c r="I61" i="9" s="1"/>
  <c r="E61" i="9"/>
  <c r="F61" i="9" s="1"/>
  <c r="K60" i="9"/>
  <c r="H60" i="9"/>
  <c r="I60" i="9" s="1"/>
  <c r="E60" i="9"/>
  <c r="F60" i="9" s="1"/>
  <c r="K59" i="9"/>
  <c r="H59" i="9"/>
  <c r="I59" i="9" s="1"/>
  <c r="E59" i="9"/>
  <c r="F59" i="9" s="1"/>
  <c r="K58" i="9"/>
  <c r="H58" i="9"/>
  <c r="I58" i="9" s="1"/>
  <c r="E58" i="9"/>
  <c r="F58" i="9" s="1"/>
  <c r="K57" i="9"/>
  <c r="H57" i="9"/>
  <c r="I57" i="9" s="1"/>
  <c r="E57" i="9"/>
  <c r="F57" i="9" s="1"/>
  <c r="K56" i="9"/>
  <c r="H56" i="9"/>
  <c r="I56" i="9" s="1"/>
  <c r="E56" i="9"/>
  <c r="F56" i="9" s="1"/>
  <c r="K55" i="9"/>
  <c r="H55" i="9"/>
  <c r="I55" i="9" s="1"/>
  <c r="E55" i="9"/>
  <c r="F55" i="9" s="1"/>
  <c r="K54" i="9"/>
  <c r="H54" i="9"/>
  <c r="I54" i="9" s="1"/>
  <c r="E54" i="9"/>
  <c r="F54" i="9" s="1"/>
  <c r="K53" i="9"/>
  <c r="H53" i="9"/>
  <c r="I53" i="9" s="1"/>
  <c r="E53" i="9"/>
  <c r="F53" i="9" s="1"/>
  <c r="K52" i="9"/>
  <c r="H52" i="9"/>
  <c r="I52" i="9" s="1"/>
  <c r="E52" i="9"/>
  <c r="F52" i="9" s="1"/>
  <c r="K51" i="9"/>
  <c r="H51" i="9"/>
  <c r="I51" i="9" s="1"/>
  <c r="E51" i="9"/>
  <c r="F51" i="9" s="1"/>
  <c r="K50" i="9"/>
  <c r="H50" i="9"/>
  <c r="I50" i="9" s="1"/>
  <c r="E50" i="9"/>
  <c r="F50" i="9" s="1"/>
  <c r="K49" i="9"/>
  <c r="H49" i="9"/>
  <c r="I49" i="9" s="1"/>
  <c r="E49" i="9"/>
  <c r="F49" i="9" s="1"/>
  <c r="K48" i="9"/>
  <c r="H48" i="9"/>
  <c r="I48" i="9" s="1"/>
  <c r="E48" i="9"/>
  <c r="F48" i="9" s="1"/>
  <c r="K47" i="9"/>
  <c r="H47" i="9"/>
  <c r="I47" i="9" s="1"/>
  <c r="E47" i="9"/>
  <c r="F47" i="9" s="1"/>
  <c r="K46" i="9"/>
  <c r="H46" i="9"/>
  <c r="I46" i="9" s="1"/>
  <c r="E46" i="9"/>
  <c r="F46" i="9" s="1"/>
  <c r="K45" i="9"/>
  <c r="H45" i="9"/>
  <c r="I45" i="9" s="1"/>
  <c r="E45" i="9"/>
  <c r="F45" i="9" s="1"/>
  <c r="K44" i="9"/>
  <c r="H44" i="9"/>
  <c r="I44" i="9" s="1"/>
  <c r="E44" i="9"/>
  <c r="F44" i="9" s="1"/>
  <c r="K43" i="9"/>
  <c r="H43" i="9"/>
  <c r="I43" i="9" s="1"/>
  <c r="E43" i="9"/>
  <c r="F43" i="9" s="1"/>
  <c r="K42" i="9"/>
  <c r="H42" i="9"/>
  <c r="I42" i="9" s="1"/>
  <c r="E42" i="9"/>
  <c r="F42" i="9" s="1"/>
  <c r="K41" i="9"/>
  <c r="H41" i="9"/>
  <c r="I41" i="9" s="1"/>
  <c r="E41" i="9"/>
  <c r="F41" i="9" s="1"/>
  <c r="K40" i="9"/>
  <c r="H40" i="9"/>
  <c r="I40" i="9" s="1"/>
  <c r="E40" i="9"/>
  <c r="F40" i="9" s="1"/>
  <c r="K39" i="9"/>
  <c r="H39" i="9"/>
  <c r="I39" i="9" s="1"/>
  <c r="E39" i="9"/>
  <c r="F39" i="9" s="1"/>
  <c r="K38" i="9"/>
  <c r="H38" i="9"/>
  <c r="I38" i="9" s="1"/>
  <c r="E38" i="9"/>
  <c r="F38" i="9" s="1"/>
  <c r="K37" i="9"/>
  <c r="H37" i="9"/>
  <c r="I37" i="9" s="1"/>
  <c r="E37" i="9"/>
  <c r="F37" i="9" s="1"/>
  <c r="K36" i="9"/>
  <c r="H36" i="9"/>
  <c r="I36" i="9" s="1"/>
  <c r="E36" i="9"/>
  <c r="F36" i="9" s="1"/>
  <c r="K35" i="9"/>
  <c r="H35" i="9"/>
  <c r="I35" i="9" s="1"/>
  <c r="E35" i="9"/>
  <c r="F35" i="9" s="1"/>
  <c r="K34" i="9"/>
  <c r="H34" i="9"/>
  <c r="I34" i="9" s="1"/>
  <c r="E34" i="9"/>
  <c r="F34" i="9" s="1"/>
  <c r="K33" i="9"/>
  <c r="H33" i="9"/>
  <c r="I33" i="9" s="1"/>
  <c r="E33" i="9"/>
  <c r="F33" i="9" s="1"/>
  <c r="K32" i="9"/>
  <c r="H32" i="9"/>
  <c r="I32" i="9" s="1"/>
  <c r="E32" i="9"/>
  <c r="F32" i="9" s="1"/>
  <c r="K31" i="9"/>
  <c r="H31" i="9"/>
  <c r="I31" i="9" s="1"/>
  <c r="E31" i="9"/>
  <c r="F31" i="9" s="1"/>
  <c r="K30" i="9"/>
  <c r="H30" i="9"/>
  <c r="I30" i="9" s="1"/>
  <c r="E30" i="9"/>
  <c r="F30" i="9" s="1"/>
  <c r="K29" i="9"/>
  <c r="H29" i="9"/>
  <c r="I29" i="9" s="1"/>
  <c r="E29" i="9"/>
  <c r="F29" i="9" s="1"/>
  <c r="K28" i="9"/>
  <c r="H28" i="9"/>
  <c r="I28" i="9" s="1"/>
  <c r="E28" i="9"/>
  <c r="F28" i="9" s="1"/>
  <c r="K27" i="9"/>
  <c r="H27" i="9"/>
  <c r="I27" i="9" s="1"/>
  <c r="E27" i="9"/>
  <c r="F27" i="9" s="1"/>
  <c r="K26" i="9"/>
  <c r="H26" i="9"/>
  <c r="I26" i="9" s="1"/>
  <c r="E26" i="9"/>
  <c r="F26" i="9" s="1"/>
  <c r="K25" i="9"/>
  <c r="H25" i="9"/>
  <c r="I25" i="9" s="1"/>
  <c r="E25" i="9"/>
  <c r="F25" i="9" s="1"/>
  <c r="K24" i="9"/>
  <c r="H24" i="9"/>
  <c r="I24" i="9" s="1"/>
  <c r="E24" i="9"/>
  <c r="F24" i="9" s="1"/>
  <c r="K23" i="9"/>
  <c r="H23" i="9"/>
  <c r="I23" i="9" s="1"/>
  <c r="E23" i="9"/>
  <c r="F23" i="9" s="1"/>
  <c r="K22" i="9"/>
  <c r="H22" i="9"/>
  <c r="I22" i="9" s="1"/>
  <c r="E22" i="9"/>
  <c r="F22" i="9" s="1"/>
  <c r="K21" i="9"/>
  <c r="H21" i="9"/>
  <c r="I21" i="9" s="1"/>
  <c r="E21" i="9"/>
  <c r="F21" i="9" s="1"/>
  <c r="K20" i="9"/>
  <c r="H20" i="9"/>
  <c r="I20" i="9" s="1"/>
  <c r="E20" i="9"/>
  <c r="F20" i="9" s="1"/>
  <c r="K19" i="9"/>
  <c r="H19" i="9"/>
  <c r="I19" i="9" s="1"/>
  <c r="E19" i="9"/>
  <c r="F19" i="9" s="1"/>
  <c r="K18" i="9"/>
  <c r="H18" i="9"/>
  <c r="I18" i="9" s="1"/>
  <c r="E18" i="9"/>
  <c r="F18" i="9" s="1"/>
  <c r="K17" i="9"/>
  <c r="H17" i="9"/>
  <c r="I17" i="9" s="1"/>
  <c r="E17" i="9"/>
  <c r="F17" i="9" s="1"/>
  <c r="K16" i="9"/>
  <c r="H16" i="9"/>
  <c r="I16" i="9" s="1"/>
  <c r="E16" i="9"/>
  <c r="F16" i="9" s="1"/>
  <c r="K15" i="9"/>
  <c r="H15" i="9"/>
  <c r="I15" i="9" s="1"/>
  <c r="E15" i="9"/>
  <c r="F15" i="9" s="1"/>
  <c r="K14" i="9"/>
  <c r="H14" i="9"/>
  <c r="I14" i="9" s="1"/>
  <c r="E14" i="9"/>
  <c r="F14" i="9" s="1"/>
  <c r="K13" i="9"/>
  <c r="H13" i="9"/>
  <c r="I13" i="9" s="1"/>
  <c r="E13" i="9"/>
  <c r="F13" i="9" s="1"/>
  <c r="K12" i="9"/>
  <c r="H12" i="9"/>
  <c r="I12" i="9" s="1"/>
  <c r="E12" i="9"/>
  <c r="F12" i="9" s="1"/>
  <c r="K11" i="9"/>
  <c r="H11" i="9"/>
  <c r="I11" i="9" s="1"/>
  <c r="E11" i="9"/>
  <c r="F11" i="9" s="1"/>
  <c r="K10" i="9"/>
  <c r="H10" i="9"/>
  <c r="I10" i="9" s="1"/>
  <c r="E10" i="9"/>
  <c r="F10" i="9" s="1"/>
  <c r="K9" i="9"/>
  <c r="H9" i="9"/>
  <c r="I9" i="9" s="1"/>
  <c r="E9" i="9"/>
  <c r="F9" i="9" s="1"/>
  <c r="K8" i="9"/>
  <c r="H8" i="9"/>
  <c r="I8" i="9" s="1"/>
  <c r="E8" i="9"/>
  <c r="F8" i="9" s="1"/>
  <c r="K7" i="9"/>
  <c r="H7" i="9"/>
  <c r="I7" i="9" s="1"/>
  <c r="E7" i="9"/>
  <c r="F7" i="9" s="1"/>
  <c r="K6" i="9"/>
  <c r="H6" i="9"/>
  <c r="I6" i="9" s="1"/>
  <c r="E6" i="9"/>
  <c r="F6" i="9" s="1"/>
  <c r="H5" i="9"/>
  <c r="I5" i="9" s="1"/>
  <c r="E5" i="9"/>
  <c r="F5" i="9" s="1"/>
  <c r="C5" i="9"/>
  <c r="B5" i="9"/>
  <c r="A5" i="9"/>
  <c r="H4" i="9"/>
  <c r="I4" i="9" s="1"/>
  <c r="E4" i="9"/>
  <c r="F4" i="9" s="1"/>
  <c r="B4" i="9"/>
  <c r="A4" i="9"/>
  <c r="H2" i="9"/>
  <c r="E2" i="9"/>
  <c r="C2" i="9"/>
  <c r="B2" i="9"/>
  <c r="A2" i="9"/>
  <c r="H3" i="9"/>
  <c r="E3" i="9"/>
  <c r="C3" i="9"/>
  <c r="B3" i="9"/>
  <c r="A3" i="9"/>
  <c r="K100" i="8"/>
  <c r="J100" i="8"/>
  <c r="H100" i="8"/>
  <c r="I100" i="8" s="1"/>
  <c r="E100" i="8"/>
  <c r="F100" i="8" s="1"/>
  <c r="K99" i="8"/>
  <c r="J99" i="8"/>
  <c r="H99" i="8"/>
  <c r="I99" i="8" s="1"/>
  <c r="E99" i="8"/>
  <c r="F99" i="8" s="1"/>
  <c r="K98" i="8"/>
  <c r="J98" i="8"/>
  <c r="H98" i="8"/>
  <c r="I98" i="8" s="1"/>
  <c r="E98" i="8"/>
  <c r="F98" i="8" s="1"/>
  <c r="K97" i="8"/>
  <c r="J97" i="8"/>
  <c r="H97" i="8"/>
  <c r="I97" i="8" s="1"/>
  <c r="E97" i="8"/>
  <c r="F97" i="8" s="1"/>
  <c r="K96" i="8"/>
  <c r="J96" i="8"/>
  <c r="H96" i="8"/>
  <c r="I96" i="8" s="1"/>
  <c r="E96" i="8"/>
  <c r="F96" i="8" s="1"/>
  <c r="K95" i="8"/>
  <c r="J95" i="8"/>
  <c r="H95" i="8"/>
  <c r="I95" i="8" s="1"/>
  <c r="E95" i="8"/>
  <c r="F95" i="8" s="1"/>
  <c r="K94" i="8"/>
  <c r="J94" i="8"/>
  <c r="H94" i="8"/>
  <c r="I94" i="8" s="1"/>
  <c r="E94" i="8"/>
  <c r="F94" i="8" s="1"/>
  <c r="K93" i="8"/>
  <c r="J93" i="8"/>
  <c r="H93" i="8"/>
  <c r="I93" i="8" s="1"/>
  <c r="E93" i="8"/>
  <c r="F93" i="8" s="1"/>
  <c r="K92" i="8"/>
  <c r="J92" i="8"/>
  <c r="H92" i="8"/>
  <c r="I92" i="8" s="1"/>
  <c r="E92" i="8"/>
  <c r="F92" i="8" s="1"/>
  <c r="K91" i="8"/>
  <c r="J91" i="8"/>
  <c r="H91" i="8"/>
  <c r="I91" i="8" s="1"/>
  <c r="E91" i="8"/>
  <c r="F91" i="8" s="1"/>
  <c r="K90" i="8"/>
  <c r="J90" i="8"/>
  <c r="H90" i="8"/>
  <c r="I90" i="8" s="1"/>
  <c r="E90" i="8"/>
  <c r="F90" i="8" s="1"/>
  <c r="K89" i="8"/>
  <c r="J89" i="8"/>
  <c r="H89" i="8"/>
  <c r="I89" i="8" s="1"/>
  <c r="E89" i="8"/>
  <c r="F89" i="8" s="1"/>
  <c r="K88" i="8"/>
  <c r="J88" i="8"/>
  <c r="H88" i="8"/>
  <c r="I88" i="8" s="1"/>
  <c r="E88" i="8"/>
  <c r="F88" i="8" s="1"/>
  <c r="K87" i="8"/>
  <c r="J87" i="8"/>
  <c r="H87" i="8"/>
  <c r="I87" i="8" s="1"/>
  <c r="E87" i="8"/>
  <c r="F87" i="8" s="1"/>
  <c r="K86" i="8"/>
  <c r="J86" i="8"/>
  <c r="H86" i="8"/>
  <c r="I86" i="8" s="1"/>
  <c r="E86" i="8"/>
  <c r="F86" i="8" s="1"/>
  <c r="K85" i="8"/>
  <c r="J85" i="8"/>
  <c r="H85" i="8"/>
  <c r="I85" i="8" s="1"/>
  <c r="E85" i="8"/>
  <c r="F85" i="8" s="1"/>
  <c r="K84" i="8"/>
  <c r="J84" i="8"/>
  <c r="H84" i="8"/>
  <c r="I84" i="8" s="1"/>
  <c r="E84" i="8"/>
  <c r="F84" i="8" s="1"/>
  <c r="K83" i="8"/>
  <c r="J83" i="8"/>
  <c r="H83" i="8"/>
  <c r="I83" i="8" s="1"/>
  <c r="E83" i="8"/>
  <c r="F83" i="8" s="1"/>
  <c r="K82" i="8"/>
  <c r="J82" i="8"/>
  <c r="H82" i="8"/>
  <c r="I82" i="8" s="1"/>
  <c r="E82" i="8"/>
  <c r="F82" i="8" s="1"/>
  <c r="K81" i="8"/>
  <c r="J81" i="8"/>
  <c r="H81" i="8"/>
  <c r="I81" i="8" s="1"/>
  <c r="E81" i="8"/>
  <c r="F81" i="8" s="1"/>
  <c r="K80" i="8"/>
  <c r="J80" i="8"/>
  <c r="H80" i="8"/>
  <c r="I80" i="8" s="1"/>
  <c r="E80" i="8"/>
  <c r="F80" i="8" s="1"/>
  <c r="K79" i="8"/>
  <c r="J79" i="8"/>
  <c r="H79" i="8"/>
  <c r="I79" i="8" s="1"/>
  <c r="E79" i="8"/>
  <c r="F79" i="8" s="1"/>
  <c r="K78" i="8"/>
  <c r="J78" i="8"/>
  <c r="H78" i="8"/>
  <c r="I78" i="8" s="1"/>
  <c r="E78" i="8"/>
  <c r="F78" i="8" s="1"/>
  <c r="K77" i="8"/>
  <c r="J77" i="8"/>
  <c r="H77" i="8"/>
  <c r="I77" i="8" s="1"/>
  <c r="E77" i="8"/>
  <c r="F77" i="8" s="1"/>
  <c r="K76" i="8"/>
  <c r="J76" i="8"/>
  <c r="H76" i="8"/>
  <c r="I76" i="8" s="1"/>
  <c r="E76" i="8"/>
  <c r="F76" i="8" s="1"/>
  <c r="K75" i="8"/>
  <c r="J75" i="8"/>
  <c r="H75" i="8"/>
  <c r="I75" i="8" s="1"/>
  <c r="E75" i="8"/>
  <c r="F75" i="8" s="1"/>
  <c r="K74" i="8"/>
  <c r="J74" i="8"/>
  <c r="H74" i="8"/>
  <c r="I74" i="8" s="1"/>
  <c r="E74" i="8"/>
  <c r="F74" i="8" s="1"/>
  <c r="K73" i="8"/>
  <c r="J73" i="8"/>
  <c r="H73" i="8"/>
  <c r="I73" i="8" s="1"/>
  <c r="E73" i="8"/>
  <c r="F73" i="8" s="1"/>
  <c r="K72" i="8"/>
  <c r="J72" i="8"/>
  <c r="H72" i="8"/>
  <c r="I72" i="8" s="1"/>
  <c r="E72" i="8"/>
  <c r="F72" i="8" s="1"/>
  <c r="K71" i="8"/>
  <c r="J71" i="8"/>
  <c r="H71" i="8"/>
  <c r="I71" i="8" s="1"/>
  <c r="E71" i="8"/>
  <c r="F71" i="8" s="1"/>
  <c r="K70" i="8"/>
  <c r="J70" i="8"/>
  <c r="H70" i="8"/>
  <c r="I70" i="8" s="1"/>
  <c r="E70" i="8"/>
  <c r="F70" i="8" s="1"/>
  <c r="K69" i="8"/>
  <c r="J69" i="8"/>
  <c r="H69" i="8"/>
  <c r="I69" i="8" s="1"/>
  <c r="E69" i="8"/>
  <c r="F69" i="8" s="1"/>
  <c r="K68" i="8"/>
  <c r="J68" i="8"/>
  <c r="H68" i="8"/>
  <c r="I68" i="8" s="1"/>
  <c r="E68" i="8"/>
  <c r="F68" i="8" s="1"/>
  <c r="K67" i="8"/>
  <c r="J67" i="8"/>
  <c r="H67" i="8"/>
  <c r="I67" i="8" s="1"/>
  <c r="E67" i="8"/>
  <c r="F67" i="8" s="1"/>
  <c r="K66" i="8"/>
  <c r="J66" i="8"/>
  <c r="H66" i="8"/>
  <c r="I66" i="8" s="1"/>
  <c r="E66" i="8"/>
  <c r="F66" i="8" s="1"/>
  <c r="K65" i="8"/>
  <c r="J65" i="8"/>
  <c r="H65" i="8"/>
  <c r="I65" i="8" s="1"/>
  <c r="E65" i="8"/>
  <c r="F65" i="8" s="1"/>
  <c r="K64" i="8"/>
  <c r="J64" i="8"/>
  <c r="H64" i="8"/>
  <c r="I64" i="8" s="1"/>
  <c r="E64" i="8"/>
  <c r="F64" i="8" s="1"/>
  <c r="K63" i="8"/>
  <c r="J63" i="8"/>
  <c r="H63" i="8"/>
  <c r="I63" i="8" s="1"/>
  <c r="E63" i="8"/>
  <c r="F63" i="8" s="1"/>
  <c r="K62" i="8"/>
  <c r="J62" i="8"/>
  <c r="H62" i="8"/>
  <c r="I62" i="8" s="1"/>
  <c r="E62" i="8"/>
  <c r="F62" i="8" s="1"/>
  <c r="K61" i="8"/>
  <c r="J61" i="8"/>
  <c r="H61" i="8"/>
  <c r="I61" i="8" s="1"/>
  <c r="E61" i="8"/>
  <c r="F61" i="8" s="1"/>
  <c r="K60" i="8"/>
  <c r="J60" i="8"/>
  <c r="H60" i="8"/>
  <c r="I60" i="8" s="1"/>
  <c r="E60" i="8"/>
  <c r="F60" i="8" s="1"/>
  <c r="K59" i="8"/>
  <c r="J59" i="8"/>
  <c r="H59" i="8"/>
  <c r="I59" i="8" s="1"/>
  <c r="E59" i="8"/>
  <c r="F59" i="8" s="1"/>
  <c r="K58" i="8"/>
  <c r="J58" i="8"/>
  <c r="H58" i="8"/>
  <c r="I58" i="8" s="1"/>
  <c r="E58" i="8"/>
  <c r="F58" i="8" s="1"/>
  <c r="K57" i="8"/>
  <c r="J57" i="8"/>
  <c r="H57" i="8"/>
  <c r="I57" i="8" s="1"/>
  <c r="E57" i="8"/>
  <c r="F57" i="8" s="1"/>
  <c r="K56" i="8"/>
  <c r="J56" i="8"/>
  <c r="H56" i="8"/>
  <c r="I56" i="8" s="1"/>
  <c r="E56" i="8"/>
  <c r="F56" i="8" s="1"/>
  <c r="K55" i="8"/>
  <c r="J55" i="8"/>
  <c r="H55" i="8"/>
  <c r="I55" i="8" s="1"/>
  <c r="E55" i="8"/>
  <c r="F55" i="8" s="1"/>
  <c r="K54" i="8"/>
  <c r="J54" i="8"/>
  <c r="H54" i="8"/>
  <c r="I54" i="8" s="1"/>
  <c r="E54" i="8"/>
  <c r="F54" i="8" s="1"/>
  <c r="K53" i="8"/>
  <c r="J53" i="8"/>
  <c r="H53" i="8"/>
  <c r="I53" i="8" s="1"/>
  <c r="E53" i="8"/>
  <c r="F53" i="8" s="1"/>
  <c r="K52" i="8"/>
  <c r="J52" i="8"/>
  <c r="H52" i="8"/>
  <c r="I52" i="8" s="1"/>
  <c r="E52" i="8"/>
  <c r="F52" i="8" s="1"/>
  <c r="K51" i="8"/>
  <c r="J51" i="8"/>
  <c r="H51" i="8"/>
  <c r="I51" i="8" s="1"/>
  <c r="E51" i="8"/>
  <c r="F51" i="8" s="1"/>
  <c r="K50" i="8"/>
  <c r="J50" i="8"/>
  <c r="H50" i="8"/>
  <c r="I50" i="8" s="1"/>
  <c r="E50" i="8"/>
  <c r="F50" i="8" s="1"/>
  <c r="K49" i="8"/>
  <c r="J49" i="8"/>
  <c r="H49" i="8"/>
  <c r="I49" i="8" s="1"/>
  <c r="E49" i="8"/>
  <c r="F49" i="8" s="1"/>
  <c r="K48" i="8"/>
  <c r="J48" i="8"/>
  <c r="H48" i="8"/>
  <c r="I48" i="8" s="1"/>
  <c r="E48" i="8"/>
  <c r="F48" i="8" s="1"/>
  <c r="K47" i="8"/>
  <c r="J47" i="8"/>
  <c r="H47" i="8"/>
  <c r="I47" i="8" s="1"/>
  <c r="E47" i="8"/>
  <c r="F47" i="8" s="1"/>
  <c r="K46" i="8"/>
  <c r="J46" i="8"/>
  <c r="H46" i="8"/>
  <c r="I46" i="8" s="1"/>
  <c r="E46" i="8"/>
  <c r="F46" i="8" s="1"/>
  <c r="K45" i="8"/>
  <c r="J45" i="8"/>
  <c r="H45" i="8"/>
  <c r="I45" i="8" s="1"/>
  <c r="E45" i="8"/>
  <c r="F45" i="8" s="1"/>
  <c r="K44" i="8"/>
  <c r="J44" i="8"/>
  <c r="H44" i="8"/>
  <c r="I44" i="8" s="1"/>
  <c r="E44" i="8"/>
  <c r="F44" i="8" s="1"/>
  <c r="K43" i="8"/>
  <c r="J43" i="8"/>
  <c r="H43" i="8"/>
  <c r="I43" i="8" s="1"/>
  <c r="E43" i="8"/>
  <c r="F43" i="8" s="1"/>
  <c r="K42" i="8"/>
  <c r="J42" i="8"/>
  <c r="H42" i="8"/>
  <c r="I42" i="8" s="1"/>
  <c r="E42" i="8"/>
  <c r="F42" i="8" s="1"/>
  <c r="K41" i="8"/>
  <c r="J41" i="8"/>
  <c r="H41" i="8"/>
  <c r="I41" i="8" s="1"/>
  <c r="E41" i="8"/>
  <c r="F41" i="8" s="1"/>
  <c r="K40" i="8"/>
  <c r="J40" i="8"/>
  <c r="H40" i="8"/>
  <c r="I40" i="8" s="1"/>
  <c r="E40" i="8"/>
  <c r="F40" i="8" s="1"/>
  <c r="K39" i="8"/>
  <c r="J39" i="8"/>
  <c r="H39" i="8"/>
  <c r="I39" i="8" s="1"/>
  <c r="E39" i="8"/>
  <c r="F39" i="8" s="1"/>
  <c r="K38" i="8"/>
  <c r="J38" i="8"/>
  <c r="H38" i="8"/>
  <c r="I38" i="8" s="1"/>
  <c r="E38" i="8"/>
  <c r="F38" i="8" s="1"/>
  <c r="K37" i="8"/>
  <c r="J37" i="8"/>
  <c r="H37" i="8"/>
  <c r="I37" i="8" s="1"/>
  <c r="E37" i="8"/>
  <c r="F37" i="8" s="1"/>
  <c r="K36" i="8"/>
  <c r="J36" i="8"/>
  <c r="H36" i="8"/>
  <c r="I36" i="8" s="1"/>
  <c r="E36" i="8"/>
  <c r="F36" i="8" s="1"/>
  <c r="K35" i="8"/>
  <c r="J35" i="8"/>
  <c r="H35" i="8"/>
  <c r="I35" i="8" s="1"/>
  <c r="E35" i="8"/>
  <c r="F35" i="8" s="1"/>
  <c r="K34" i="8"/>
  <c r="J34" i="8"/>
  <c r="H34" i="8"/>
  <c r="I34" i="8" s="1"/>
  <c r="E34" i="8"/>
  <c r="F34" i="8" s="1"/>
  <c r="K33" i="8"/>
  <c r="J33" i="8"/>
  <c r="H33" i="8"/>
  <c r="I33" i="8" s="1"/>
  <c r="E33" i="8"/>
  <c r="F33" i="8" s="1"/>
  <c r="K32" i="8"/>
  <c r="J32" i="8"/>
  <c r="H32" i="8"/>
  <c r="I32" i="8" s="1"/>
  <c r="E32" i="8"/>
  <c r="F32" i="8" s="1"/>
  <c r="K31" i="8"/>
  <c r="J31" i="8"/>
  <c r="H31" i="8"/>
  <c r="I31" i="8" s="1"/>
  <c r="E31" i="8"/>
  <c r="F31" i="8" s="1"/>
  <c r="K30" i="8"/>
  <c r="J30" i="8"/>
  <c r="H30" i="8"/>
  <c r="I30" i="8" s="1"/>
  <c r="E30" i="8"/>
  <c r="F30" i="8" s="1"/>
  <c r="K29" i="8"/>
  <c r="J29" i="8"/>
  <c r="H29" i="8"/>
  <c r="I29" i="8" s="1"/>
  <c r="E29" i="8"/>
  <c r="F29" i="8" s="1"/>
  <c r="K28" i="8"/>
  <c r="J28" i="8"/>
  <c r="H28" i="8"/>
  <c r="I28" i="8" s="1"/>
  <c r="E28" i="8"/>
  <c r="F28" i="8" s="1"/>
  <c r="K27" i="8"/>
  <c r="J27" i="8"/>
  <c r="H27" i="8"/>
  <c r="I27" i="8" s="1"/>
  <c r="E27" i="8"/>
  <c r="F27" i="8" s="1"/>
  <c r="K26" i="8"/>
  <c r="J26" i="8"/>
  <c r="H26" i="8"/>
  <c r="I26" i="8" s="1"/>
  <c r="E26" i="8"/>
  <c r="F26" i="8" s="1"/>
  <c r="K25" i="8"/>
  <c r="J25" i="8"/>
  <c r="H25" i="8"/>
  <c r="I25" i="8" s="1"/>
  <c r="E25" i="8"/>
  <c r="F25" i="8" s="1"/>
  <c r="K24" i="8"/>
  <c r="J24" i="8"/>
  <c r="H24" i="8"/>
  <c r="I24" i="8" s="1"/>
  <c r="E24" i="8"/>
  <c r="F24" i="8" s="1"/>
  <c r="K23" i="8"/>
  <c r="J23" i="8"/>
  <c r="H23" i="8"/>
  <c r="I23" i="8" s="1"/>
  <c r="E23" i="8"/>
  <c r="F23" i="8" s="1"/>
  <c r="K22" i="8"/>
  <c r="J22" i="8"/>
  <c r="H22" i="8"/>
  <c r="I22" i="8" s="1"/>
  <c r="E22" i="8"/>
  <c r="F22" i="8" s="1"/>
  <c r="K21" i="8"/>
  <c r="H21" i="8"/>
  <c r="I21" i="8" s="1"/>
  <c r="E21" i="8"/>
  <c r="F21" i="8" s="1"/>
  <c r="K20" i="8"/>
  <c r="H20" i="8"/>
  <c r="I20" i="8" s="1"/>
  <c r="E20" i="8"/>
  <c r="F20" i="8" s="1"/>
  <c r="K19" i="8"/>
  <c r="H19" i="8"/>
  <c r="I19" i="8" s="1"/>
  <c r="E19" i="8"/>
  <c r="F19" i="8" s="1"/>
  <c r="K18" i="8"/>
  <c r="H18" i="8"/>
  <c r="I18" i="8" s="1"/>
  <c r="E18" i="8"/>
  <c r="F18" i="8" s="1"/>
  <c r="K17" i="8"/>
  <c r="H17" i="8"/>
  <c r="I17" i="8" s="1"/>
  <c r="E17" i="8"/>
  <c r="F17" i="8" s="1"/>
  <c r="K16" i="8"/>
  <c r="H16" i="8"/>
  <c r="I16" i="8" s="1"/>
  <c r="E16" i="8"/>
  <c r="F16" i="8" s="1"/>
  <c r="K15" i="8"/>
  <c r="H15" i="8"/>
  <c r="I15" i="8" s="1"/>
  <c r="E15" i="8"/>
  <c r="F15" i="8" s="1"/>
  <c r="H14" i="8"/>
  <c r="I14" i="8" s="1"/>
  <c r="E14" i="8"/>
  <c r="F14" i="8" s="1"/>
  <c r="K13" i="8"/>
  <c r="H13" i="8"/>
  <c r="I13" i="8" s="1"/>
  <c r="E13" i="8"/>
  <c r="F13" i="8" s="1"/>
  <c r="K12" i="8"/>
  <c r="H12" i="8"/>
  <c r="I12" i="8" s="1"/>
  <c r="E12" i="8"/>
  <c r="F12" i="8" s="1"/>
  <c r="K11" i="8"/>
  <c r="H11" i="8"/>
  <c r="I11" i="8" s="1"/>
  <c r="E11" i="8"/>
  <c r="F11" i="8" s="1"/>
  <c r="K10" i="8"/>
  <c r="H10" i="8"/>
  <c r="I10" i="8" s="1"/>
  <c r="E10" i="8"/>
  <c r="F10" i="8" s="1"/>
  <c r="K9" i="8"/>
  <c r="H9" i="8"/>
  <c r="E9" i="8"/>
  <c r="F9" i="8" s="1"/>
  <c r="K8" i="8"/>
  <c r="H8" i="8"/>
  <c r="I8" i="8" s="1"/>
  <c r="E8" i="8"/>
  <c r="F8" i="8" s="1"/>
  <c r="K7" i="8"/>
  <c r="H7" i="8"/>
  <c r="I7" i="8" s="1"/>
  <c r="E7" i="8"/>
  <c r="F7" i="8" s="1"/>
  <c r="K6" i="8"/>
  <c r="H6" i="8"/>
  <c r="I6" i="8" s="1"/>
  <c r="E6" i="8"/>
  <c r="F6" i="8" s="1"/>
  <c r="H4" i="8"/>
  <c r="E4" i="8"/>
  <c r="C4" i="8"/>
  <c r="B4" i="8"/>
  <c r="A4" i="8"/>
  <c r="H3" i="8"/>
  <c r="E3" i="8"/>
  <c r="C3" i="8"/>
  <c r="B3" i="8"/>
  <c r="A3" i="8"/>
  <c r="H2" i="8"/>
  <c r="E2" i="8"/>
  <c r="C2" i="8"/>
  <c r="B2" i="8"/>
  <c r="A2" i="8"/>
  <c r="H5" i="8"/>
  <c r="I5" i="8" s="1"/>
  <c r="E5" i="8"/>
  <c r="C5" i="8"/>
  <c r="B5" i="8"/>
  <c r="A5" i="8"/>
  <c r="K100" i="7"/>
  <c r="J100" i="7"/>
  <c r="H100" i="7"/>
  <c r="I100" i="7" s="1"/>
  <c r="E100" i="7"/>
  <c r="F100" i="7" s="1"/>
  <c r="K99" i="7"/>
  <c r="J99" i="7"/>
  <c r="H99" i="7"/>
  <c r="I99" i="7" s="1"/>
  <c r="E99" i="7"/>
  <c r="F99" i="7" s="1"/>
  <c r="K98" i="7"/>
  <c r="J98" i="7"/>
  <c r="H98" i="7"/>
  <c r="I98" i="7" s="1"/>
  <c r="E98" i="7"/>
  <c r="F98" i="7" s="1"/>
  <c r="K97" i="7"/>
  <c r="J97" i="7"/>
  <c r="H97" i="7"/>
  <c r="I97" i="7" s="1"/>
  <c r="E97" i="7"/>
  <c r="F97" i="7" s="1"/>
  <c r="K96" i="7"/>
  <c r="J96" i="7"/>
  <c r="H96" i="7"/>
  <c r="I96" i="7" s="1"/>
  <c r="E96" i="7"/>
  <c r="F96" i="7" s="1"/>
  <c r="K95" i="7"/>
  <c r="J95" i="7"/>
  <c r="H95" i="7"/>
  <c r="I95" i="7" s="1"/>
  <c r="E95" i="7"/>
  <c r="F95" i="7" s="1"/>
  <c r="K94" i="7"/>
  <c r="J94" i="7"/>
  <c r="H94" i="7"/>
  <c r="I94" i="7" s="1"/>
  <c r="E94" i="7"/>
  <c r="F94" i="7" s="1"/>
  <c r="K93" i="7"/>
  <c r="J93" i="7"/>
  <c r="H93" i="7"/>
  <c r="I93" i="7" s="1"/>
  <c r="E93" i="7"/>
  <c r="F93" i="7" s="1"/>
  <c r="K92" i="7"/>
  <c r="J92" i="7"/>
  <c r="H92" i="7"/>
  <c r="I92" i="7" s="1"/>
  <c r="E92" i="7"/>
  <c r="F92" i="7" s="1"/>
  <c r="K91" i="7"/>
  <c r="J91" i="7"/>
  <c r="H91" i="7"/>
  <c r="I91" i="7" s="1"/>
  <c r="E91" i="7"/>
  <c r="F91" i="7" s="1"/>
  <c r="K90" i="7"/>
  <c r="J90" i="7"/>
  <c r="H90" i="7"/>
  <c r="I90" i="7" s="1"/>
  <c r="E90" i="7"/>
  <c r="F90" i="7" s="1"/>
  <c r="K89" i="7"/>
  <c r="J89" i="7"/>
  <c r="H89" i="7"/>
  <c r="I89" i="7" s="1"/>
  <c r="E89" i="7"/>
  <c r="F89" i="7" s="1"/>
  <c r="K88" i="7"/>
  <c r="J88" i="7"/>
  <c r="H88" i="7"/>
  <c r="I88" i="7" s="1"/>
  <c r="E88" i="7"/>
  <c r="F88" i="7" s="1"/>
  <c r="K87" i="7"/>
  <c r="J87" i="7"/>
  <c r="H87" i="7"/>
  <c r="I87" i="7" s="1"/>
  <c r="E87" i="7"/>
  <c r="F87" i="7" s="1"/>
  <c r="K86" i="7"/>
  <c r="J86" i="7"/>
  <c r="H86" i="7"/>
  <c r="I86" i="7" s="1"/>
  <c r="E86" i="7"/>
  <c r="F86" i="7" s="1"/>
  <c r="K85" i="7"/>
  <c r="J85" i="7"/>
  <c r="H85" i="7"/>
  <c r="I85" i="7" s="1"/>
  <c r="E85" i="7"/>
  <c r="F85" i="7" s="1"/>
  <c r="K84" i="7"/>
  <c r="J84" i="7"/>
  <c r="H84" i="7"/>
  <c r="I84" i="7" s="1"/>
  <c r="E84" i="7"/>
  <c r="F84" i="7" s="1"/>
  <c r="K83" i="7"/>
  <c r="J83" i="7"/>
  <c r="H83" i="7"/>
  <c r="I83" i="7" s="1"/>
  <c r="E83" i="7"/>
  <c r="F83" i="7" s="1"/>
  <c r="K82" i="7"/>
  <c r="J82" i="7"/>
  <c r="H82" i="7"/>
  <c r="I82" i="7" s="1"/>
  <c r="E82" i="7"/>
  <c r="F82" i="7" s="1"/>
  <c r="K81" i="7"/>
  <c r="J81" i="7"/>
  <c r="H81" i="7"/>
  <c r="I81" i="7" s="1"/>
  <c r="E81" i="7"/>
  <c r="F81" i="7" s="1"/>
  <c r="K80" i="7"/>
  <c r="J80" i="7"/>
  <c r="H80" i="7"/>
  <c r="I80" i="7" s="1"/>
  <c r="E80" i="7"/>
  <c r="F80" i="7" s="1"/>
  <c r="K79" i="7"/>
  <c r="J79" i="7"/>
  <c r="H79" i="7"/>
  <c r="I79" i="7" s="1"/>
  <c r="E79" i="7"/>
  <c r="F79" i="7" s="1"/>
  <c r="K78" i="7"/>
  <c r="J78" i="7"/>
  <c r="H78" i="7"/>
  <c r="I78" i="7" s="1"/>
  <c r="E78" i="7"/>
  <c r="F78" i="7" s="1"/>
  <c r="K77" i="7"/>
  <c r="J77" i="7"/>
  <c r="H77" i="7"/>
  <c r="I77" i="7" s="1"/>
  <c r="E77" i="7"/>
  <c r="F77" i="7" s="1"/>
  <c r="K76" i="7"/>
  <c r="J76" i="7"/>
  <c r="H76" i="7"/>
  <c r="I76" i="7" s="1"/>
  <c r="E76" i="7"/>
  <c r="F76" i="7" s="1"/>
  <c r="K75" i="7"/>
  <c r="J75" i="7"/>
  <c r="H75" i="7"/>
  <c r="I75" i="7" s="1"/>
  <c r="E75" i="7"/>
  <c r="F75" i="7" s="1"/>
  <c r="K74" i="7"/>
  <c r="J74" i="7"/>
  <c r="H74" i="7"/>
  <c r="I74" i="7" s="1"/>
  <c r="E74" i="7"/>
  <c r="F74" i="7" s="1"/>
  <c r="K73" i="7"/>
  <c r="J73" i="7"/>
  <c r="H73" i="7"/>
  <c r="I73" i="7" s="1"/>
  <c r="E73" i="7"/>
  <c r="F73" i="7" s="1"/>
  <c r="K72" i="7"/>
  <c r="J72" i="7"/>
  <c r="H72" i="7"/>
  <c r="I72" i="7" s="1"/>
  <c r="E72" i="7"/>
  <c r="F72" i="7" s="1"/>
  <c r="K71" i="7"/>
  <c r="J71" i="7"/>
  <c r="H71" i="7"/>
  <c r="I71" i="7" s="1"/>
  <c r="E71" i="7"/>
  <c r="F71" i="7" s="1"/>
  <c r="K70" i="7"/>
  <c r="J70" i="7"/>
  <c r="H70" i="7"/>
  <c r="I70" i="7" s="1"/>
  <c r="E70" i="7"/>
  <c r="F70" i="7" s="1"/>
  <c r="K69" i="7"/>
  <c r="J69" i="7"/>
  <c r="H69" i="7"/>
  <c r="I69" i="7" s="1"/>
  <c r="E69" i="7"/>
  <c r="F69" i="7" s="1"/>
  <c r="K68" i="7"/>
  <c r="J68" i="7"/>
  <c r="H68" i="7"/>
  <c r="I68" i="7" s="1"/>
  <c r="E68" i="7"/>
  <c r="F68" i="7" s="1"/>
  <c r="K67" i="7"/>
  <c r="J67" i="7"/>
  <c r="H67" i="7"/>
  <c r="I67" i="7" s="1"/>
  <c r="E67" i="7"/>
  <c r="F67" i="7" s="1"/>
  <c r="K66" i="7"/>
  <c r="J66" i="7"/>
  <c r="H66" i="7"/>
  <c r="I66" i="7" s="1"/>
  <c r="E66" i="7"/>
  <c r="F66" i="7" s="1"/>
  <c r="K65" i="7"/>
  <c r="J65" i="7"/>
  <c r="H65" i="7"/>
  <c r="I65" i="7" s="1"/>
  <c r="E65" i="7"/>
  <c r="F65" i="7" s="1"/>
  <c r="K64" i="7"/>
  <c r="J64" i="7"/>
  <c r="H64" i="7"/>
  <c r="I64" i="7" s="1"/>
  <c r="E64" i="7"/>
  <c r="F64" i="7" s="1"/>
  <c r="K63" i="7"/>
  <c r="J63" i="7"/>
  <c r="H63" i="7"/>
  <c r="I63" i="7" s="1"/>
  <c r="E63" i="7"/>
  <c r="F63" i="7" s="1"/>
  <c r="K62" i="7"/>
  <c r="J62" i="7"/>
  <c r="H62" i="7"/>
  <c r="I62" i="7" s="1"/>
  <c r="E62" i="7"/>
  <c r="F62" i="7" s="1"/>
  <c r="K61" i="7"/>
  <c r="J61" i="7"/>
  <c r="H61" i="7"/>
  <c r="I61" i="7" s="1"/>
  <c r="E61" i="7"/>
  <c r="F61" i="7" s="1"/>
  <c r="K60" i="7"/>
  <c r="J60" i="7"/>
  <c r="H60" i="7"/>
  <c r="I60" i="7" s="1"/>
  <c r="E60" i="7"/>
  <c r="F60" i="7" s="1"/>
  <c r="K59" i="7"/>
  <c r="J59" i="7"/>
  <c r="H59" i="7"/>
  <c r="I59" i="7" s="1"/>
  <c r="E59" i="7"/>
  <c r="F59" i="7" s="1"/>
  <c r="K58" i="7"/>
  <c r="J58" i="7"/>
  <c r="H58" i="7"/>
  <c r="I58" i="7" s="1"/>
  <c r="E58" i="7"/>
  <c r="F58" i="7" s="1"/>
  <c r="K57" i="7"/>
  <c r="J57" i="7"/>
  <c r="H57" i="7"/>
  <c r="I57" i="7" s="1"/>
  <c r="E57" i="7"/>
  <c r="F57" i="7" s="1"/>
  <c r="K56" i="7"/>
  <c r="J56" i="7"/>
  <c r="H56" i="7"/>
  <c r="I56" i="7" s="1"/>
  <c r="E56" i="7"/>
  <c r="F56" i="7" s="1"/>
  <c r="K55" i="7"/>
  <c r="J55" i="7"/>
  <c r="H55" i="7"/>
  <c r="I55" i="7" s="1"/>
  <c r="E55" i="7"/>
  <c r="F55" i="7" s="1"/>
  <c r="K54" i="7"/>
  <c r="J54" i="7"/>
  <c r="H54" i="7"/>
  <c r="I54" i="7" s="1"/>
  <c r="E54" i="7"/>
  <c r="F54" i="7" s="1"/>
  <c r="K53" i="7"/>
  <c r="J53" i="7"/>
  <c r="H53" i="7"/>
  <c r="I53" i="7" s="1"/>
  <c r="E53" i="7"/>
  <c r="F53" i="7" s="1"/>
  <c r="K52" i="7"/>
  <c r="J52" i="7"/>
  <c r="H52" i="7"/>
  <c r="I52" i="7" s="1"/>
  <c r="E52" i="7"/>
  <c r="F52" i="7" s="1"/>
  <c r="K51" i="7"/>
  <c r="J51" i="7"/>
  <c r="H51" i="7"/>
  <c r="I51" i="7" s="1"/>
  <c r="E51" i="7"/>
  <c r="F51" i="7" s="1"/>
  <c r="K50" i="7"/>
  <c r="J50" i="7"/>
  <c r="H50" i="7"/>
  <c r="I50" i="7" s="1"/>
  <c r="E50" i="7"/>
  <c r="F50" i="7" s="1"/>
  <c r="K49" i="7"/>
  <c r="J49" i="7"/>
  <c r="H49" i="7"/>
  <c r="I49" i="7" s="1"/>
  <c r="E49" i="7"/>
  <c r="F49" i="7" s="1"/>
  <c r="K48" i="7"/>
  <c r="J48" i="7"/>
  <c r="H48" i="7"/>
  <c r="I48" i="7" s="1"/>
  <c r="E48" i="7"/>
  <c r="F48" i="7" s="1"/>
  <c r="K47" i="7"/>
  <c r="J47" i="7"/>
  <c r="H47" i="7"/>
  <c r="I47" i="7" s="1"/>
  <c r="E47" i="7"/>
  <c r="F47" i="7" s="1"/>
  <c r="K46" i="7"/>
  <c r="J46" i="7"/>
  <c r="H46" i="7"/>
  <c r="I46" i="7" s="1"/>
  <c r="E46" i="7"/>
  <c r="F46" i="7" s="1"/>
  <c r="K45" i="7"/>
  <c r="J45" i="7"/>
  <c r="H45" i="7"/>
  <c r="I45" i="7" s="1"/>
  <c r="E45" i="7"/>
  <c r="F45" i="7" s="1"/>
  <c r="K44" i="7"/>
  <c r="J44" i="7"/>
  <c r="H44" i="7"/>
  <c r="I44" i="7" s="1"/>
  <c r="E44" i="7"/>
  <c r="F44" i="7" s="1"/>
  <c r="K43" i="7"/>
  <c r="J43" i="7"/>
  <c r="H43" i="7"/>
  <c r="I43" i="7" s="1"/>
  <c r="E43" i="7"/>
  <c r="F43" i="7" s="1"/>
  <c r="K42" i="7"/>
  <c r="J42" i="7"/>
  <c r="H42" i="7"/>
  <c r="I42" i="7" s="1"/>
  <c r="E42" i="7"/>
  <c r="F42" i="7" s="1"/>
  <c r="K41" i="7"/>
  <c r="J41" i="7"/>
  <c r="H41" i="7"/>
  <c r="I41" i="7" s="1"/>
  <c r="E41" i="7"/>
  <c r="F41" i="7" s="1"/>
  <c r="K40" i="7"/>
  <c r="J40" i="7"/>
  <c r="H40" i="7"/>
  <c r="I40" i="7" s="1"/>
  <c r="E40" i="7"/>
  <c r="F40" i="7" s="1"/>
  <c r="K39" i="7"/>
  <c r="J39" i="7"/>
  <c r="H39" i="7"/>
  <c r="I39" i="7" s="1"/>
  <c r="E39" i="7"/>
  <c r="F39" i="7" s="1"/>
  <c r="K38" i="7"/>
  <c r="J38" i="7"/>
  <c r="H38" i="7"/>
  <c r="I38" i="7" s="1"/>
  <c r="E38" i="7"/>
  <c r="F38" i="7" s="1"/>
  <c r="K37" i="7"/>
  <c r="J37" i="7"/>
  <c r="H37" i="7"/>
  <c r="I37" i="7" s="1"/>
  <c r="E37" i="7"/>
  <c r="F37" i="7" s="1"/>
  <c r="K36" i="7"/>
  <c r="J36" i="7"/>
  <c r="H36" i="7"/>
  <c r="I36" i="7" s="1"/>
  <c r="E36" i="7"/>
  <c r="F36" i="7" s="1"/>
  <c r="K35" i="7"/>
  <c r="J35" i="7"/>
  <c r="H35" i="7"/>
  <c r="I35" i="7" s="1"/>
  <c r="E35" i="7"/>
  <c r="F35" i="7" s="1"/>
  <c r="K34" i="7"/>
  <c r="J34" i="7"/>
  <c r="H34" i="7"/>
  <c r="I34" i="7" s="1"/>
  <c r="E34" i="7"/>
  <c r="F34" i="7" s="1"/>
  <c r="K33" i="7"/>
  <c r="J33" i="7"/>
  <c r="H33" i="7"/>
  <c r="I33" i="7" s="1"/>
  <c r="E33" i="7"/>
  <c r="F33" i="7" s="1"/>
  <c r="K32" i="7"/>
  <c r="J32" i="7"/>
  <c r="H32" i="7"/>
  <c r="I32" i="7" s="1"/>
  <c r="E32" i="7"/>
  <c r="F32" i="7" s="1"/>
  <c r="K31" i="7"/>
  <c r="J31" i="7"/>
  <c r="H31" i="7"/>
  <c r="I31" i="7" s="1"/>
  <c r="E31" i="7"/>
  <c r="F31" i="7" s="1"/>
  <c r="K30" i="7"/>
  <c r="J30" i="7"/>
  <c r="H30" i="7"/>
  <c r="I30" i="7" s="1"/>
  <c r="E30" i="7"/>
  <c r="F30" i="7" s="1"/>
  <c r="K29" i="7"/>
  <c r="J29" i="7"/>
  <c r="H29" i="7"/>
  <c r="I29" i="7" s="1"/>
  <c r="E29" i="7"/>
  <c r="F29" i="7" s="1"/>
  <c r="K28" i="7"/>
  <c r="J28" i="7"/>
  <c r="H28" i="7"/>
  <c r="I28" i="7" s="1"/>
  <c r="E28" i="7"/>
  <c r="F28" i="7" s="1"/>
  <c r="K27" i="7"/>
  <c r="J27" i="7"/>
  <c r="H27" i="7"/>
  <c r="I27" i="7" s="1"/>
  <c r="E27" i="7"/>
  <c r="F27" i="7" s="1"/>
  <c r="K26" i="7"/>
  <c r="J26" i="7"/>
  <c r="H26" i="7"/>
  <c r="I26" i="7" s="1"/>
  <c r="E26" i="7"/>
  <c r="F26" i="7" s="1"/>
  <c r="K25" i="7"/>
  <c r="J25" i="7"/>
  <c r="H25" i="7"/>
  <c r="I25" i="7" s="1"/>
  <c r="E25" i="7"/>
  <c r="K24" i="7"/>
  <c r="J24" i="7"/>
  <c r="H24" i="7"/>
  <c r="I24" i="7" s="1"/>
  <c r="E24" i="7"/>
  <c r="F24" i="7" s="1"/>
  <c r="K23" i="7"/>
  <c r="J23" i="7"/>
  <c r="H23" i="7"/>
  <c r="I23" i="7" s="1"/>
  <c r="E23" i="7"/>
  <c r="F23" i="7" s="1"/>
  <c r="K22" i="7"/>
  <c r="J22" i="7"/>
  <c r="H22" i="7"/>
  <c r="I22" i="7" s="1"/>
  <c r="E22" i="7"/>
  <c r="F22" i="7" s="1"/>
  <c r="K21" i="7"/>
  <c r="H21" i="7"/>
  <c r="I21" i="7" s="1"/>
  <c r="E21" i="7"/>
  <c r="F21" i="7" s="1"/>
  <c r="K20" i="7"/>
  <c r="H20" i="7"/>
  <c r="I20" i="7" s="1"/>
  <c r="E20" i="7"/>
  <c r="F20" i="7" s="1"/>
  <c r="K19" i="7"/>
  <c r="H19" i="7"/>
  <c r="I19" i="7" s="1"/>
  <c r="E19" i="7"/>
  <c r="F19" i="7" s="1"/>
  <c r="K18" i="7"/>
  <c r="H18" i="7"/>
  <c r="I18" i="7" s="1"/>
  <c r="E18" i="7"/>
  <c r="F18" i="7" s="1"/>
  <c r="K17" i="7"/>
  <c r="H17" i="7"/>
  <c r="I17" i="7" s="1"/>
  <c r="E17" i="7"/>
  <c r="F17" i="7" s="1"/>
  <c r="K16" i="7"/>
  <c r="H16" i="7"/>
  <c r="I16" i="7" s="1"/>
  <c r="E16" i="7"/>
  <c r="F16" i="7" s="1"/>
  <c r="H6" i="7"/>
  <c r="E6" i="7"/>
  <c r="C6" i="7"/>
  <c r="B6" i="7"/>
  <c r="A6" i="7"/>
  <c r="H10" i="7"/>
  <c r="E10" i="7"/>
  <c r="C10" i="7"/>
  <c r="B10" i="7"/>
  <c r="A10" i="7"/>
  <c r="H11" i="7"/>
  <c r="E11" i="7"/>
  <c r="C11" i="7"/>
  <c r="B11" i="7"/>
  <c r="A11" i="7"/>
  <c r="H9" i="7"/>
  <c r="E9" i="7"/>
  <c r="C9" i="7"/>
  <c r="B9" i="7"/>
  <c r="A9" i="7"/>
  <c r="H7" i="7"/>
  <c r="E7" i="7"/>
  <c r="C7" i="7"/>
  <c r="B7" i="7"/>
  <c r="A7" i="7"/>
  <c r="H5" i="7"/>
  <c r="E5" i="7"/>
  <c r="B5" i="7"/>
  <c r="A5" i="7"/>
  <c r="H13" i="7"/>
  <c r="E13" i="7"/>
  <c r="C13" i="7"/>
  <c r="B13" i="7"/>
  <c r="A13" i="7"/>
  <c r="H8" i="7"/>
  <c r="E8" i="7"/>
  <c r="C8" i="7"/>
  <c r="B8" i="7"/>
  <c r="A8" i="7"/>
  <c r="H14" i="7"/>
  <c r="E14" i="7"/>
  <c r="C14" i="7"/>
  <c r="B14" i="7"/>
  <c r="A14" i="7"/>
  <c r="H12" i="7"/>
  <c r="E12" i="7"/>
  <c r="C12" i="7"/>
  <c r="B12" i="7"/>
  <c r="A12" i="7"/>
  <c r="H4" i="7"/>
  <c r="E4" i="7"/>
  <c r="C4" i="7"/>
  <c r="B4" i="7"/>
  <c r="A4" i="7"/>
  <c r="H3" i="7"/>
  <c r="E3" i="7"/>
  <c r="C3" i="7"/>
  <c r="B3" i="7"/>
  <c r="A3" i="7"/>
  <c r="H2" i="7"/>
  <c r="E2" i="7"/>
  <c r="C2" i="7"/>
  <c r="B2" i="7"/>
  <c r="A2" i="7"/>
  <c r="H15" i="7"/>
  <c r="I15" i="7" s="1"/>
  <c r="E15" i="7"/>
  <c r="F15" i="7" s="1"/>
  <c r="C15" i="7"/>
  <c r="B15" i="7"/>
  <c r="A15" i="7"/>
  <c r="J100" i="6"/>
  <c r="K100" i="6" s="1"/>
  <c r="H100" i="6"/>
  <c r="I100" i="6" s="1"/>
  <c r="E100" i="6"/>
  <c r="F100" i="6" s="1"/>
  <c r="J99" i="6"/>
  <c r="K99" i="6" s="1"/>
  <c r="H99" i="6"/>
  <c r="I99" i="6" s="1"/>
  <c r="E99" i="6"/>
  <c r="F99" i="6" s="1"/>
  <c r="K98" i="6"/>
  <c r="J98" i="6"/>
  <c r="H98" i="6"/>
  <c r="I98" i="6" s="1"/>
  <c r="E98" i="6"/>
  <c r="F98" i="6" s="1"/>
  <c r="J97" i="6"/>
  <c r="K97" i="6" s="1"/>
  <c r="H97" i="6"/>
  <c r="I97" i="6" s="1"/>
  <c r="E97" i="6"/>
  <c r="F97" i="6" s="1"/>
  <c r="K96" i="6"/>
  <c r="J96" i="6"/>
  <c r="H96" i="6"/>
  <c r="I96" i="6" s="1"/>
  <c r="E96" i="6"/>
  <c r="F96" i="6" s="1"/>
  <c r="J95" i="6"/>
  <c r="K95" i="6" s="1"/>
  <c r="H95" i="6"/>
  <c r="I95" i="6" s="1"/>
  <c r="E95" i="6"/>
  <c r="F95" i="6" s="1"/>
  <c r="K94" i="6"/>
  <c r="J94" i="6"/>
  <c r="H94" i="6"/>
  <c r="I94" i="6" s="1"/>
  <c r="E94" i="6"/>
  <c r="F94" i="6" s="1"/>
  <c r="J93" i="6"/>
  <c r="K93" i="6" s="1"/>
  <c r="H93" i="6"/>
  <c r="I93" i="6" s="1"/>
  <c r="E93" i="6"/>
  <c r="F93" i="6" s="1"/>
  <c r="J92" i="6"/>
  <c r="K92" i="6" s="1"/>
  <c r="H92" i="6"/>
  <c r="I92" i="6" s="1"/>
  <c r="E92" i="6"/>
  <c r="F92" i="6" s="1"/>
  <c r="J91" i="6"/>
  <c r="K91" i="6" s="1"/>
  <c r="H91" i="6"/>
  <c r="I91" i="6" s="1"/>
  <c r="E91" i="6"/>
  <c r="F91" i="6" s="1"/>
  <c r="K90" i="6"/>
  <c r="J90" i="6"/>
  <c r="H90" i="6"/>
  <c r="I90" i="6" s="1"/>
  <c r="E90" i="6"/>
  <c r="F90" i="6" s="1"/>
  <c r="J89" i="6"/>
  <c r="K89" i="6" s="1"/>
  <c r="H89" i="6"/>
  <c r="I89" i="6" s="1"/>
  <c r="E89" i="6"/>
  <c r="F89" i="6" s="1"/>
  <c r="J88" i="6"/>
  <c r="K88" i="6" s="1"/>
  <c r="H88" i="6"/>
  <c r="I88" i="6" s="1"/>
  <c r="E88" i="6"/>
  <c r="F88" i="6" s="1"/>
  <c r="J87" i="6"/>
  <c r="K87" i="6" s="1"/>
  <c r="H87" i="6"/>
  <c r="I87" i="6" s="1"/>
  <c r="E87" i="6"/>
  <c r="F87" i="6" s="1"/>
  <c r="J86" i="6"/>
  <c r="K86" i="6" s="1"/>
  <c r="H86" i="6"/>
  <c r="I86" i="6" s="1"/>
  <c r="E86" i="6"/>
  <c r="F86" i="6" s="1"/>
  <c r="J85" i="6"/>
  <c r="K85" i="6" s="1"/>
  <c r="H85" i="6"/>
  <c r="I85" i="6" s="1"/>
  <c r="E85" i="6"/>
  <c r="F85" i="6" s="1"/>
  <c r="K84" i="6"/>
  <c r="J84" i="6"/>
  <c r="H84" i="6"/>
  <c r="I84" i="6" s="1"/>
  <c r="E84" i="6"/>
  <c r="F84" i="6" s="1"/>
  <c r="J83" i="6"/>
  <c r="K83" i="6" s="1"/>
  <c r="H83" i="6"/>
  <c r="I83" i="6" s="1"/>
  <c r="E83" i="6"/>
  <c r="F83" i="6" s="1"/>
  <c r="K82" i="6"/>
  <c r="J82" i="6"/>
  <c r="H82" i="6"/>
  <c r="I82" i="6" s="1"/>
  <c r="E82" i="6"/>
  <c r="F82" i="6" s="1"/>
  <c r="J81" i="6"/>
  <c r="K81" i="6" s="1"/>
  <c r="H81" i="6"/>
  <c r="I81" i="6" s="1"/>
  <c r="E81" i="6"/>
  <c r="F81" i="6" s="1"/>
  <c r="J80" i="6"/>
  <c r="K80" i="6" s="1"/>
  <c r="H80" i="6"/>
  <c r="I80" i="6" s="1"/>
  <c r="E80" i="6"/>
  <c r="F80" i="6" s="1"/>
  <c r="J79" i="6"/>
  <c r="K79" i="6" s="1"/>
  <c r="H79" i="6"/>
  <c r="I79" i="6" s="1"/>
  <c r="E79" i="6"/>
  <c r="F79" i="6" s="1"/>
  <c r="K78" i="6"/>
  <c r="J78" i="6"/>
  <c r="H78" i="6"/>
  <c r="I78" i="6" s="1"/>
  <c r="E78" i="6"/>
  <c r="F78" i="6" s="1"/>
  <c r="J77" i="6"/>
  <c r="K77" i="6" s="1"/>
  <c r="H77" i="6"/>
  <c r="I77" i="6" s="1"/>
  <c r="E77" i="6"/>
  <c r="F77" i="6" s="1"/>
  <c r="J76" i="6"/>
  <c r="K76" i="6" s="1"/>
  <c r="H76" i="6"/>
  <c r="I76" i="6" s="1"/>
  <c r="E76" i="6"/>
  <c r="F76" i="6" s="1"/>
  <c r="J75" i="6"/>
  <c r="K75" i="6" s="1"/>
  <c r="H75" i="6"/>
  <c r="I75" i="6" s="1"/>
  <c r="E75" i="6"/>
  <c r="F75" i="6" s="1"/>
  <c r="K74" i="6"/>
  <c r="J74" i="6"/>
  <c r="H74" i="6"/>
  <c r="I74" i="6" s="1"/>
  <c r="E74" i="6"/>
  <c r="F74" i="6" s="1"/>
  <c r="J73" i="6"/>
  <c r="K73" i="6" s="1"/>
  <c r="H73" i="6"/>
  <c r="I73" i="6" s="1"/>
  <c r="E73" i="6"/>
  <c r="F73" i="6" s="1"/>
  <c r="K72" i="6"/>
  <c r="J72" i="6"/>
  <c r="H72" i="6"/>
  <c r="I72" i="6" s="1"/>
  <c r="E72" i="6"/>
  <c r="F72" i="6" s="1"/>
  <c r="J71" i="6"/>
  <c r="K71" i="6" s="1"/>
  <c r="H71" i="6"/>
  <c r="I71" i="6" s="1"/>
  <c r="E71" i="6"/>
  <c r="F71" i="6" s="1"/>
  <c r="K70" i="6"/>
  <c r="J70" i="6"/>
  <c r="H70" i="6"/>
  <c r="I70" i="6" s="1"/>
  <c r="E70" i="6"/>
  <c r="F70" i="6" s="1"/>
  <c r="J69" i="6"/>
  <c r="K69" i="6" s="1"/>
  <c r="H69" i="6"/>
  <c r="I69" i="6" s="1"/>
  <c r="E69" i="6"/>
  <c r="F69" i="6" s="1"/>
  <c r="J68" i="6"/>
  <c r="K68" i="6" s="1"/>
  <c r="H68" i="6"/>
  <c r="I68" i="6" s="1"/>
  <c r="E68" i="6"/>
  <c r="F68" i="6" s="1"/>
  <c r="J67" i="6"/>
  <c r="K67" i="6" s="1"/>
  <c r="H67" i="6"/>
  <c r="I67" i="6" s="1"/>
  <c r="E67" i="6"/>
  <c r="F67" i="6" s="1"/>
  <c r="K66" i="6"/>
  <c r="J66" i="6"/>
  <c r="H66" i="6"/>
  <c r="I66" i="6" s="1"/>
  <c r="E66" i="6"/>
  <c r="F66" i="6" s="1"/>
  <c r="J65" i="6"/>
  <c r="K65" i="6" s="1"/>
  <c r="H65" i="6"/>
  <c r="I65" i="6" s="1"/>
  <c r="E65" i="6"/>
  <c r="F65" i="6" s="1"/>
  <c r="J64" i="6"/>
  <c r="K64" i="6" s="1"/>
  <c r="H64" i="6"/>
  <c r="I64" i="6" s="1"/>
  <c r="E64" i="6"/>
  <c r="F64" i="6" s="1"/>
  <c r="J63" i="6"/>
  <c r="K63" i="6" s="1"/>
  <c r="H63" i="6"/>
  <c r="I63" i="6" s="1"/>
  <c r="E63" i="6"/>
  <c r="F63" i="6" s="1"/>
  <c r="K62" i="6"/>
  <c r="J62" i="6"/>
  <c r="H62" i="6"/>
  <c r="I62" i="6" s="1"/>
  <c r="E62" i="6"/>
  <c r="F62" i="6" s="1"/>
  <c r="J61" i="6"/>
  <c r="K61" i="6" s="1"/>
  <c r="H61" i="6"/>
  <c r="I61" i="6" s="1"/>
  <c r="E61" i="6"/>
  <c r="F61" i="6" s="1"/>
  <c r="K60" i="6"/>
  <c r="J60" i="6"/>
  <c r="H60" i="6"/>
  <c r="I60" i="6" s="1"/>
  <c r="E60" i="6"/>
  <c r="F60" i="6" s="1"/>
  <c r="J59" i="6"/>
  <c r="K59" i="6" s="1"/>
  <c r="H59" i="6"/>
  <c r="I59" i="6" s="1"/>
  <c r="E59" i="6"/>
  <c r="F59" i="6" s="1"/>
  <c r="K58" i="6"/>
  <c r="J58" i="6"/>
  <c r="H58" i="6"/>
  <c r="I58" i="6" s="1"/>
  <c r="E58" i="6"/>
  <c r="F58" i="6" s="1"/>
  <c r="J57" i="6"/>
  <c r="K57" i="6" s="1"/>
  <c r="H57" i="6"/>
  <c r="I57" i="6" s="1"/>
  <c r="E57" i="6"/>
  <c r="F57" i="6" s="1"/>
  <c r="J56" i="6"/>
  <c r="K56" i="6" s="1"/>
  <c r="H56" i="6"/>
  <c r="I56" i="6" s="1"/>
  <c r="E56" i="6"/>
  <c r="F56" i="6" s="1"/>
  <c r="J55" i="6"/>
  <c r="K55" i="6" s="1"/>
  <c r="H55" i="6"/>
  <c r="I55" i="6" s="1"/>
  <c r="E55" i="6"/>
  <c r="F55" i="6" s="1"/>
  <c r="K54" i="6"/>
  <c r="J54" i="6"/>
  <c r="H54" i="6"/>
  <c r="I54" i="6" s="1"/>
  <c r="E54" i="6"/>
  <c r="F54" i="6" s="1"/>
  <c r="J53" i="6"/>
  <c r="K53" i="6" s="1"/>
  <c r="H53" i="6"/>
  <c r="I53" i="6" s="1"/>
  <c r="E53" i="6"/>
  <c r="F53" i="6" s="1"/>
  <c r="J52" i="6"/>
  <c r="K52" i="6" s="1"/>
  <c r="H52" i="6"/>
  <c r="I52" i="6" s="1"/>
  <c r="E52" i="6"/>
  <c r="F52" i="6" s="1"/>
  <c r="J51" i="6"/>
  <c r="K51" i="6" s="1"/>
  <c r="H51" i="6"/>
  <c r="I51" i="6" s="1"/>
  <c r="E51" i="6"/>
  <c r="F51" i="6" s="1"/>
  <c r="J50" i="6"/>
  <c r="K50" i="6" s="1"/>
  <c r="H50" i="6"/>
  <c r="I50" i="6" s="1"/>
  <c r="E50" i="6"/>
  <c r="F50" i="6" s="1"/>
  <c r="J49" i="6"/>
  <c r="K49" i="6" s="1"/>
  <c r="H49" i="6"/>
  <c r="I49" i="6" s="1"/>
  <c r="E49" i="6"/>
  <c r="F49" i="6" s="1"/>
  <c r="K48" i="6"/>
  <c r="J48" i="6"/>
  <c r="H48" i="6"/>
  <c r="I48" i="6" s="1"/>
  <c r="E48" i="6"/>
  <c r="F48" i="6" s="1"/>
  <c r="J47" i="6"/>
  <c r="K47" i="6" s="1"/>
  <c r="H47" i="6"/>
  <c r="I47" i="6" s="1"/>
  <c r="E47" i="6"/>
  <c r="F47" i="6" s="1"/>
  <c r="K46" i="6"/>
  <c r="J46" i="6"/>
  <c r="H46" i="6"/>
  <c r="I46" i="6" s="1"/>
  <c r="E46" i="6"/>
  <c r="F46" i="6" s="1"/>
  <c r="J45" i="6"/>
  <c r="K45" i="6" s="1"/>
  <c r="H45" i="6"/>
  <c r="I45" i="6" s="1"/>
  <c r="E45" i="6"/>
  <c r="F45" i="6" s="1"/>
  <c r="J44" i="6"/>
  <c r="K44" i="6" s="1"/>
  <c r="H44" i="6"/>
  <c r="I44" i="6" s="1"/>
  <c r="E44" i="6"/>
  <c r="F44" i="6" s="1"/>
  <c r="J43" i="6"/>
  <c r="K43" i="6" s="1"/>
  <c r="H43" i="6"/>
  <c r="I43" i="6" s="1"/>
  <c r="E43" i="6"/>
  <c r="F43" i="6" s="1"/>
  <c r="K42" i="6"/>
  <c r="J42" i="6"/>
  <c r="H42" i="6"/>
  <c r="I42" i="6" s="1"/>
  <c r="E42" i="6"/>
  <c r="F42" i="6" s="1"/>
  <c r="J41" i="6"/>
  <c r="K41" i="6" s="1"/>
  <c r="H41" i="6"/>
  <c r="I41" i="6" s="1"/>
  <c r="E41" i="6"/>
  <c r="F41" i="6" s="1"/>
  <c r="J40" i="6"/>
  <c r="K40" i="6" s="1"/>
  <c r="H40" i="6"/>
  <c r="I40" i="6" s="1"/>
  <c r="E40" i="6"/>
  <c r="F40" i="6" s="1"/>
  <c r="J39" i="6"/>
  <c r="K39" i="6" s="1"/>
  <c r="H39" i="6"/>
  <c r="I39" i="6" s="1"/>
  <c r="E39" i="6"/>
  <c r="F39" i="6" s="1"/>
  <c r="K38" i="6"/>
  <c r="J38" i="6"/>
  <c r="H38" i="6"/>
  <c r="I38" i="6" s="1"/>
  <c r="E38" i="6"/>
  <c r="F38" i="6" s="1"/>
  <c r="J37" i="6"/>
  <c r="K37" i="6" s="1"/>
  <c r="H37" i="6"/>
  <c r="I37" i="6" s="1"/>
  <c r="E37" i="6"/>
  <c r="F37" i="6" s="1"/>
  <c r="K36" i="6"/>
  <c r="J36" i="6"/>
  <c r="H36" i="6"/>
  <c r="I36" i="6" s="1"/>
  <c r="E36" i="6"/>
  <c r="F36" i="6" s="1"/>
  <c r="J35" i="6"/>
  <c r="K35" i="6" s="1"/>
  <c r="H35" i="6"/>
  <c r="I35" i="6" s="1"/>
  <c r="E35" i="6"/>
  <c r="F35" i="6" s="1"/>
  <c r="K34" i="6"/>
  <c r="J34" i="6"/>
  <c r="H34" i="6"/>
  <c r="I34" i="6" s="1"/>
  <c r="E34" i="6"/>
  <c r="F34" i="6" s="1"/>
  <c r="J33" i="6"/>
  <c r="K33" i="6" s="1"/>
  <c r="H33" i="6"/>
  <c r="I33" i="6" s="1"/>
  <c r="E33" i="6"/>
  <c r="F33" i="6" s="1"/>
  <c r="J32" i="6"/>
  <c r="K32" i="6" s="1"/>
  <c r="H32" i="6"/>
  <c r="I32" i="6" s="1"/>
  <c r="E32" i="6"/>
  <c r="F32" i="6" s="1"/>
  <c r="J31" i="6"/>
  <c r="K31" i="6" s="1"/>
  <c r="H31" i="6"/>
  <c r="I31" i="6" s="1"/>
  <c r="E31" i="6"/>
  <c r="F31" i="6" s="1"/>
  <c r="K30" i="6"/>
  <c r="J30" i="6"/>
  <c r="H30" i="6"/>
  <c r="I30" i="6" s="1"/>
  <c r="E30" i="6"/>
  <c r="F30" i="6" s="1"/>
  <c r="J29" i="6"/>
  <c r="K29" i="6" s="1"/>
  <c r="H29" i="6"/>
  <c r="I29" i="6" s="1"/>
  <c r="E29" i="6"/>
  <c r="F29" i="6" s="1"/>
  <c r="J28" i="6"/>
  <c r="K28" i="6" s="1"/>
  <c r="H28" i="6"/>
  <c r="I28" i="6" s="1"/>
  <c r="E28" i="6"/>
  <c r="F28" i="6" s="1"/>
  <c r="J27" i="6"/>
  <c r="K27" i="6" s="1"/>
  <c r="H27" i="6"/>
  <c r="I27" i="6" s="1"/>
  <c r="E27" i="6"/>
  <c r="F27" i="6" s="1"/>
  <c r="K26" i="6"/>
  <c r="J26" i="6"/>
  <c r="H26" i="6"/>
  <c r="I26" i="6" s="1"/>
  <c r="E26" i="6"/>
  <c r="F26" i="6" s="1"/>
  <c r="J25" i="6"/>
  <c r="K25" i="6" s="1"/>
  <c r="H25" i="6"/>
  <c r="I25" i="6" s="1"/>
  <c r="E25" i="6"/>
  <c r="F25" i="6" s="1"/>
  <c r="K24" i="6"/>
  <c r="J24" i="6"/>
  <c r="H24" i="6"/>
  <c r="I24" i="6" s="1"/>
  <c r="E24" i="6"/>
  <c r="F24" i="6" s="1"/>
  <c r="K23" i="6"/>
  <c r="H23" i="6"/>
  <c r="I23" i="6" s="1"/>
  <c r="E23" i="6"/>
  <c r="F23" i="6" s="1"/>
  <c r="K22" i="6"/>
  <c r="H22" i="6"/>
  <c r="I22" i="6" s="1"/>
  <c r="E22" i="6"/>
  <c r="F22" i="6" s="1"/>
  <c r="K21" i="6"/>
  <c r="H21" i="6"/>
  <c r="I21" i="6" s="1"/>
  <c r="E21" i="6"/>
  <c r="F21" i="6" s="1"/>
  <c r="K20" i="6"/>
  <c r="H20" i="6"/>
  <c r="I20" i="6" s="1"/>
  <c r="E20" i="6"/>
  <c r="F20" i="6" s="1"/>
  <c r="K19" i="6"/>
  <c r="H19" i="6"/>
  <c r="I19" i="6" s="1"/>
  <c r="E19" i="6"/>
  <c r="F19" i="6" s="1"/>
  <c r="K18" i="6"/>
  <c r="H18" i="6"/>
  <c r="I18" i="6" s="1"/>
  <c r="E18" i="6"/>
  <c r="F18" i="6" s="1"/>
  <c r="K17" i="6"/>
  <c r="H17" i="6"/>
  <c r="I17" i="6" s="1"/>
  <c r="E17" i="6"/>
  <c r="F17" i="6" s="1"/>
  <c r="K16" i="6"/>
  <c r="H16" i="6"/>
  <c r="I16" i="6" s="1"/>
  <c r="E16" i="6"/>
  <c r="F16" i="6" s="1"/>
  <c r="K15" i="6"/>
  <c r="H15" i="6"/>
  <c r="I15" i="6" s="1"/>
  <c r="E15" i="6"/>
  <c r="F15" i="6" s="1"/>
  <c r="K14" i="6"/>
  <c r="H14" i="6"/>
  <c r="I14" i="6" s="1"/>
  <c r="E14" i="6"/>
  <c r="F14" i="6" s="1"/>
  <c r="H11" i="6"/>
  <c r="E11" i="6"/>
  <c r="C11" i="6"/>
  <c r="B11" i="6"/>
  <c r="A11" i="6"/>
  <c r="H5" i="6"/>
  <c r="E5" i="6"/>
  <c r="C5" i="6"/>
  <c r="B5" i="6"/>
  <c r="A5" i="6"/>
  <c r="H10" i="6"/>
  <c r="E10" i="6"/>
  <c r="C10" i="6"/>
  <c r="B10" i="6"/>
  <c r="A10" i="6"/>
  <c r="H4" i="6"/>
  <c r="E4" i="6"/>
  <c r="C4" i="6"/>
  <c r="B4" i="6"/>
  <c r="A4" i="6"/>
  <c r="H12" i="6"/>
  <c r="E12" i="6"/>
  <c r="C12" i="6"/>
  <c r="B12" i="6"/>
  <c r="A12" i="6"/>
  <c r="H6" i="6"/>
  <c r="E6" i="6"/>
  <c r="C6" i="6"/>
  <c r="B6" i="6"/>
  <c r="A6" i="6"/>
  <c r="H9" i="6"/>
  <c r="E9" i="6"/>
  <c r="C9" i="6"/>
  <c r="B9" i="6"/>
  <c r="A9" i="6"/>
  <c r="H13" i="6"/>
  <c r="E13" i="6"/>
  <c r="F13" i="6" s="1"/>
  <c r="C13" i="6"/>
  <c r="B13" i="6"/>
  <c r="A13" i="6"/>
  <c r="H7" i="6"/>
  <c r="E7" i="6"/>
  <c r="C7" i="6"/>
  <c r="B7" i="6"/>
  <c r="A7" i="6"/>
  <c r="H8" i="6"/>
  <c r="E8" i="6"/>
  <c r="C8" i="6"/>
  <c r="B8" i="6"/>
  <c r="A8" i="6"/>
  <c r="H2" i="6"/>
  <c r="E2" i="6"/>
  <c r="C2" i="6"/>
  <c r="B2" i="6"/>
  <c r="A2" i="6"/>
  <c r="H3" i="6"/>
  <c r="E3" i="6"/>
  <c r="C3" i="6"/>
  <c r="B3" i="6"/>
  <c r="A3" i="6"/>
  <c r="J100" i="5"/>
  <c r="K100" i="5" s="1"/>
  <c r="H100" i="5"/>
  <c r="I100" i="5" s="1"/>
  <c r="E100" i="5"/>
  <c r="F100" i="5" s="1"/>
  <c r="K99" i="5"/>
  <c r="J99" i="5"/>
  <c r="H99" i="5"/>
  <c r="I99" i="5" s="1"/>
  <c r="E99" i="5"/>
  <c r="F99" i="5" s="1"/>
  <c r="J98" i="5"/>
  <c r="K98" i="5" s="1"/>
  <c r="H98" i="5"/>
  <c r="I98" i="5" s="1"/>
  <c r="E98" i="5"/>
  <c r="F98" i="5" s="1"/>
  <c r="J97" i="5"/>
  <c r="K97" i="5" s="1"/>
  <c r="H97" i="5"/>
  <c r="I97" i="5" s="1"/>
  <c r="E97" i="5"/>
  <c r="F97" i="5" s="1"/>
  <c r="K96" i="5"/>
  <c r="J96" i="5"/>
  <c r="H96" i="5"/>
  <c r="I96" i="5" s="1"/>
  <c r="E96" i="5"/>
  <c r="F96" i="5" s="1"/>
  <c r="K95" i="5"/>
  <c r="J95" i="5"/>
  <c r="H95" i="5"/>
  <c r="I95" i="5" s="1"/>
  <c r="E95" i="5"/>
  <c r="F95" i="5" s="1"/>
  <c r="K94" i="5"/>
  <c r="J94" i="5"/>
  <c r="H94" i="5"/>
  <c r="I94" i="5" s="1"/>
  <c r="E94" i="5"/>
  <c r="F94" i="5" s="1"/>
  <c r="J93" i="5"/>
  <c r="K93" i="5" s="1"/>
  <c r="H93" i="5"/>
  <c r="I93" i="5" s="1"/>
  <c r="E93" i="5"/>
  <c r="F93" i="5" s="1"/>
  <c r="J92" i="5"/>
  <c r="K92" i="5" s="1"/>
  <c r="H92" i="5"/>
  <c r="I92" i="5" s="1"/>
  <c r="E92" i="5"/>
  <c r="F92" i="5" s="1"/>
  <c r="K91" i="5"/>
  <c r="J91" i="5"/>
  <c r="H91" i="5"/>
  <c r="I91" i="5" s="1"/>
  <c r="E91" i="5"/>
  <c r="F91" i="5" s="1"/>
  <c r="J90" i="5"/>
  <c r="K90" i="5" s="1"/>
  <c r="H90" i="5"/>
  <c r="I90" i="5" s="1"/>
  <c r="E90" i="5"/>
  <c r="F90" i="5" s="1"/>
  <c r="J89" i="5"/>
  <c r="K89" i="5" s="1"/>
  <c r="H89" i="5"/>
  <c r="I89" i="5" s="1"/>
  <c r="E89" i="5"/>
  <c r="F89" i="5" s="1"/>
  <c r="K88" i="5"/>
  <c r="J88" i="5"/>
  <c r="H88" i="5"/>
  <c r="I88" i="5" s="1"/>
  <c r="E88" i="5"/>
  <c r="F88" i="5" s="1"/>
  <c r="J87" i="5"/>
  <c r="K87" i="5" s="1"/>
  <c r="H87" i="5"/>
  <c r="I87" i="5" s="1"/>
  <c r="E87" i="5"/>
  <c r="F87" i="5" s="1"/>
  <c r="J86" i="5"/>
  <c r="K86" i="5" s="1"/>
  <c r="H86" i="5"/>
  <c r="I86" i="5" s="1"/>
  <c r="E86" i="5"/>
  <c r="F86" i="5" s="1"/>
  <c r="K85" i="5"/>
  <c r="J85" i="5"/>
  <c r="H85" i="5"/>
  <c r="I85" i="5" s="1"/>
  <c r="E85" i="5"/>
  <c r="F85" i="5" s="1"/>
  <c r="J84" i="5"/>
  <c r="K84" i="5" s="1"/>
  <c r="H84" i="5"/>
  <c r="I84" i="5" s="1"/>
  <c r="E84" i="5"/>
  <c r="F84" i="5" s="1"/>
  <c r="K83" i="5"/>
  <c r="J83" i="5"/>
  <c r="H83" i="5"/>
  <c r="I83" i="5" s="1"/>
  <c r="E83" i="5"/>
  <c r="F83" i="5" s="1"/>
  <c r="K82" i="5"/>
  <c r="J82" i="5"/>
  <c r="H82" i="5"/>
  <c r="I82" i="5" s="1"/>
  <c r="E82" i="5"/>
  <c r="F82" i="5" s="1"/>
  <c r="J81" i="5"/>
  <c r="K81" i="5" s="1"/>
  <c r="H81" i="5"/>
  <c r="I81" i="5" s="1"/>
  <c r="E81" i="5"/>
  <c r="F81" i="5" s="1"/>
  <c r="J80" i="5"/>
  <c r="K80" i="5" s="1"/>
  <c r="H80" i="5"/>
  <c r="I80" i="5" s="1"/>
  <c r="E80" i="5"/>
  <c r="F80" i="5" s="1"/>
  <c r="J79" i="5"/>
  <c r="K79" i="5" s="1"/>
  <c r="H79" i="5"/>
  <c r="I79" i="5" s="1"/>
  <c r="E79" i="5"/>
  <c r="F79" i="5" s="1"/>
  <c r="K78" i="5"/>
  <c r="J78" i="5"/>
  <c r="H78" i="5"/>
  <c r="I78" i="5" s="1"/>
  <c r="E78" i="5"/>
  <c r="F78" i="5" s="1"/>
  <c r="K77" i="5"/>
  <c r="J77" i="5"/>
  <c r="H77" i="5"/>
  <c r="I77" i="5" s="1"/>
  <c r="E77" i="5"/>
  <c r="F77" i="5" s="1"/>
  <c r="J76" i="5"/>
  <c r="K76" i="5" s="1"/>
  <c r="H76" i="5"/>
  <c r="I76" i="5" s="1"/>
  <c r="E76" i="5"/>
  <c r="F76" i="5" s="1"/>
  <c r="J75" i="5"/>
  <c r="K75" i="5" s="1"/>
  <c r="H75" i="5"/>
  <c r="I75" i="5" s="1"/>
  <c r="E75" i="5"/>
  <c r="F75" i="5" s="1"/>
  <c r="J74" i="5"/>
  <c r="K74" i="5" s="1"/>
  <c r="H74" i="5"/>
  <c r="I74" i="5" s="1"/>
  <c r="E74" i="5"/>
  <c r="F74" i="5" s="1"/>
  <c r="K73" i="5"/>
  <c r="J73" i="5"/>
  <c r="H73" i="5"/>
  <c r="I73" i="5" s="1"/>
  <c r="E73" i="5"/>
  <c r="F73" i="5" s="1"/>
  <c r="J72" i="5"/>
  <c r="K72" i="5" s="1"/>
  <c r="H72" i="5"/>
  <c r="I72" i="5" s="1"/>
  <c r="E72" i="5"/>
  <c r="F72" i="5" s="1"/>
  <c r="J71" i="5"/>
  <c r="K71" i="5" s="1"/>
  <c r="H71" i="5"/>
  <c r="I71" i="5" s="1"/>
  <c r="E71" i="5"/>
  <c r="F71" i="5" s="1"/>
  <c r="J70" i="5"/>
  <c r="K70" i="5" s="1"/>
  <c r="H70" i="5"/>
  <c r="I70" i="5" s="1"/>
  <c r="E70" i="5"/>
  <c r="F70" i="5" s="1"/>
  <c r="J69" i="5"/>
  <c r="K69" i="5" s="1"/>
  <c r="H69" i="5"/>
  <c r="I69" i="5" s="1"/>
  <c r="E69" i="5"/>
  <c r="F69" i="5" s="1"/>
  <c r="J68" i="5"/>
  <c r="K68" i="5" s="1"/>
  <c r="H68" i="5"/>
  <c r="I68" i="5" s="1"/>
  <c r="E68" i="5"/>
  <c r="F68" i="5" s="1"/>
  <c r="J67" i="5"/>
  <c r="K67" i="5" s="1"/>
  <c r="H67" i="5"/>
  <c r="I67" i="5" s="1"/>
  <c r="E67" i="5"/>
  <c r="F67" i="5" s="1"/>
  <c r="J66" i="5"/>
  <c r="K66" i="5" s="1"/>
  <c r="H66" i="5"/>
  <c r="I66" i="5" s="1"/>
  <c r="E66" i="5"/>
  <c r="F66" i="5" s="1"/>
  <c r="K65" i="5"/>
  <c r="J65" i="5"/>
  <c r="H65" i="5"/>
  <c r="I65" i="5" s="1"/>
  <c r="E65" i="5"/>
  <c r="F65" i="5" s="1"/>
  <c r="J64" i="5"/>
  <c r="K64" i="5" s="1"/>
  <c r="H64" i="5"/>
  <c r="I64" i="5" s="1"/>
  <c r="E64" i="5"/>
  <c r="F64" i="5" s="1"/>
  <c r="J63" i="5"/>
  <c r="K63" i="5" s="1"/>
  <c r="H63" i="5"/>
  <c r="I63" i="5" s="1"/>
  <c r="E63" i="5"/>
  <c r="F63" i="5" s="1"/>
  <c r="J62" i="5"/>
  <c r="K62" i="5" s="1"/>
  <c r="H62" i="5"/>
  <c r="I62" i="5" s="1"/>
  <c r="E62" i="5"/>
  <c r="F62" i="5" s="1"/>
  <c r="K61" i="5"/>
  <c r="J61" i="5"/>
  <c r="H61" i="5"/>
  <c r="I61" i="5" s="1"/>
  <c r="E61" i="5"/>
  <c r="F61" i="5" s="1"/>
  <c r="J60" i="5"/>
  <c r="K60" i="5" s="1"/>
  <c r="H60" i="5"/>
  <c r="I60" i="5" s="1"/>
  <c r="E60" i="5"/>
  <c r="F60" i="5" s="1"/>
  <c r="J59" i="5"/>
  <c r="K59" i="5" s="1"/>
  <c r="H59" i="5"/>
  <c r="I59" i="5" s="1"/>
  <c r="E59" i="5"/>
  <c r="F59" i="5" s="1"/>
  <c r="J58" i="5"/>
  <c r="K58" i="5" s="1"/>
  <c r="H58" i="5"/>
  <c r="I58" i="5" s="1"/>
  <c r="E58" i="5"/>
  <c r="F58" i="5" s="1"/>
  <c r="J57" i="5"/>
  <c r="K57" i="5" s="1"/>
  <c r="H57" i="5"/>
  <c r="I57" i="5" s="1"/>
  <c r="E57" i="5"/>
  <c r="F57" i="5" s="1"/>
  <c r="J56" i="5"/>
  <c r="K56" i="5" s="1"/>
  <c r="H56" i="5"/>
  <c r="I56" i="5" s="1"/>
  <c r="E56" i="5"/>
  <c r="F56" i="5" s="1"/>
  <c r="J55" i="5"/>
  <c r="K55" i="5" s="1"/>
  <c r="H55" i="5"/>
  <c r="I55" i="5" s="1"/>
  <c r="E55" i="5"/>
  <c r="F55" i="5" s="1"/>
  <c r="J54" i="5"/>
  <c r="K54" i="5" s="1"/>
  <c r="H54" i="5"/>
  <c r="I54" i="5" s="1"/>
  <c r="E54" i="5"/>
  <c r="F54" i="5" s="1"/>
  <c r="K53" i="5"/>
  <c r="J53" i="5"/>
  <c r="H53" i="5"/>
  <c r="I53" i="5" s="1"/>
  <c r="E53" i="5"/>
  <c r="F53" i="5" s="1"/>
  <c r="J52" i="5"/>
  <c r="K52" i="5" s="1"/>
  <c r="H52" i="5"/>
  <c r="I52" i="5" s="1"/>
  <c r="E52" i="5"/>
  <c r="F52" i="5" s="1"/>
  <c r="J51" i="5"/>
  <c r="K51" i="5" s="1"/>
  <c r="H51" i="5"/>
  <c r="I51" i="5" s="1"/>
  <c r="E51" i="5"/>
  <c r="F51" i="5" s="1"/>
  <c r="J50" i="5"/>
  <c r="K50" i="5" s="1"/>
  <c r="H50" i="5"/>
  <c r="I50" i="5" s="1"/>
  <c r="E50" i="5"/>
  <c r="F50" i="5" s="1"/>
  <c r="K49" i="5"/>
  <c r="J49" i="5"/>
  <c r="H49" i="5"/>
  <c r="I49" i="5" s="1"/>
  <c r="E49" i="5"/>
  <c r="F49" i="5" s="1"/>
  <c r="J48" i="5"/>
  <c r="K48" i="5" s="1"/>
  <c r="H48" i="5"/>
  <c r="I48" i="5" s="1"/>
  <c r="E48" i="5"/>
  <c r="F48" i="5" s="1"/>
  <c r="J47" i="5"/>
  <c r="K47" i="5" s="1"/>
  <c r="H47" i="5"/>
  <c r="I47" i="5" s="1"/>
  <c r="E47" i="5"/>
  <c r="F47" i="5" s="1"/>
  <c r="J46" i="5"/>
  <c r="K46" i="5" s="1"/>
  <c r="H46" i="5"/>
  <c r="I46" i="5" s="1"/>
  <c r="E46" i="5"/>
  <c r="F46" i="5" s="1"/>
  <c r="J45" i="5"/>
  <c r="K45" i="5" s="1"/>
  <c r="H45" i="5"/>
  <c r="I45" i="5" s="1"/>
  <c r="E45" i="5"/>
  <c r="F45" i="5" s="1"/>
  <c r="J44" i="5"/>
  <c r="K44" i="5" s="1"/>
  <c r="H44" i="5"/>
  <c r="I44" i="5" s="1"/>
  <c r="E44" i="5"/>
  <c r="F44" i="5" s="1"/>
  <c r="J43" i="5"/>
  <c r="K43" i="5" s="1"/>
  <c r="H43" i="5"/>
  <c r="I43" i="5" s="1"/>
  <c r="E43" i="5"/>
  <c r="F43" i="5" s="1"/>
  <c r="J42" i="5"/>
  <c r="K42" i="5" s="1"/>
  <c r="H42" i="5"/>
  <c r="I42" i="5" s="1"/>
  <c r="E42" i="5"/>
  <c r="F42" i="5" s="1"/>
  <c r="K41" i="5"/>
  <c r="J41" i="5"/>
  <c r="H41" i="5"/>
  <c r="I41" i="5" s="1"/>
  <c r="E41" i="5"/>
  <c r="F41" i="5" s="1"/>
  <c r="J40" i="5"/>
  <c r="K40" i="5" s="1"/>
  <c r="H40" i="5"/>
  <c r="I40" i="5" s="1"/>
  <c r="E40" i="5"/>
  <c r="F40" i="5" s="1"/>
  <c r="J39" i="5"/>
  <c r="K39" i="5" s="1"/>
  <c r="H39" i="5"/>
  <c r="I39" i="5" s="1"/>
  <c r="E39" i="5"/>
  <c r="F39" i="5" s="1"/>
  <c r="J38" i="5"/>
  <c r="K38" i="5" s="1"/>
  <c r="H38" i="5"/>
  <c r="I38" i="5" s="1"/>
  <c r="E38" i="5"/>
  <c r="F38" i="5" s="1"/>
  <c r="K37" i="5"/>
  <c r="J37" i="5"/>
  <c r="H37" i="5"/>
  <c r="I37" i="5" s="1"/>
  <c r="E37" i="5"/>
  <c r="F37" i="5" s="1"/>
  <c r="J36" i="5"/>
  <c r="K36" i="5" s="1"/>
  <c r="H36" i="5"/>
  <c r="I36" i="5" s="1"/>
  <c r="E36" i="5"/>
  <c r="F36" i="5" s="1"/>
  <c r="J35" i="5"/>
  <c r="K35" i="5" s="1"/>
  <c r="H35" i="5"/>
  <c r="I35" i="5" s="1"/>
  <c r="E35" i="5"/>
  <c r="F35" i="5" s="1"/>
  <c r="J34" i="5"/>
  <c r="K34" i="5" s="1"/>
  <c r="H34" i="5"/>
  <c r="I34" i="5" s="1"/>
  <c r="E34" i="5"/>
  <c r="F34" i="5" s="1"/>
  <c r="J33" i="5"/>
  <c r="K33" i="5" s="1"/>
  <c r="H33" i="5"/>
  <c r="I33" i="5" s="1"/>
  <c r="E33" i="5"/>
  <c r="F33" i="5" s="1"/>
  <c r="J32" i="5"/>
  <c r="K32" i="5" s="1"/>
  <c r="H32" i="5"/>
  <c r="I32" i="5" s="1"/>
  <c r="E32" i="5"/>
  <c r="F32" i="5" s="1"/>
  <c r="J31" i="5"/>
  <c r="K31" i="5" s="1"/>
  <c r="H31" i="5"/>
  <c r="I31" i="5" s="1"/>
  <c r="E31" i="5"/>
  <c r="F31" i="5" s="1"/>
  <c r="J30" i="5"/>
  <c r="K30" i="5" s="1"/>
  <c r="H30" i="5"/>
  <c r="I30" i="5" s="1"/>
  <c r="E30" i="5"/>
  <c r="F30" i="5" s="1"/>
  <c r="K29" i="5"/>
  <c r="J29" i="5"/>
  <c r="H29" i="5"/>
  <c r="I29" i="5" s="1"/>
  <c r="E29" i="5"/>
  <c r="F29" i="5" s="1"/>
  <c r="J28" i="5"/>
  <c r="K28" i="5" s="1"/>
  <c r="H28" i="5"/>
  <c r="I28" i="5" s="1"/>
  <c r="E28" i="5"/>
  <c r="F28" i="5" s="1"/>
  <c r="J27" i="5"/>
  <c r="K27" i="5" s="1"/>
  <c r="H27" i="5"/>
  <c r="I27" i="5" s="1"/>
  <c r="E27" i="5"/>
  <c r="F27" i="5" s="1"/>
  <c r="J26" i="5"/>
  <c r="K26" i="5" s="1"/>
  <c r="H26" i="5"/>
  <c r="I26" i="5" s="1"/>
  <c r="E26" i="5"/>
  <c r="F26" i="5" s="1"/>
  <c r="K25" i="5"/>
  <c r="J25" i="5"/>
  <c r="H25" i="5"/>
  <c r="I25" i="5" s="1"/>
  <c r="E25" i="5"/>
  <c r="F25" i="5" s="1"/>
  <c r="J24" i="5"/>
  <c r="K24" i="5" s="1"/>
  <c r="H24" i="5"/>
  <c r="I24" i="5" s="1"/>
  <c r="E24" i="5"/>
  <c r="F24" i="5" s="1"/>
  <c r="J23" i="5"/>
  <c r="K23" i="5" s="1"/>
  <c r="H23" i="5"/>
  <c r="I23" i="5" s="1"/>
  <c r="E23" i="5"/>
  <c r="F23" i="5" s="1"/>
  <c r="J22" i="5"/>
  <c r="K22" i="5" s="1"/>
  <c r="H22" i="5"/>
  <c r="I22" i="5" s="1"/>
  <c r="E22" i="5"/>
  <c r="F22" i="5" s="1"/>
  <c r="K21" i="5"/>
  <c r="H21" i="5"/>
  <c r="I21" i="5" s="1"/>
  <c r="E21" i="5"/>
  <c r="F21" i="5" s="1"/>
  <c r="K20" i="5"/>
  <c r="H20" i="5"/>
  <c r="I20" i="5" s="1"/>
  <c r="E20" i="5"/>
  <c r="F20" i="5" s="1"/>
  <c r="K19" i="5"/>
  <c r="H19" i="5"/>
  <c r="I19" i="5" s="1"/>
  <c r="E19" i="5"/>
  <c r="F19" i="5" s="1"/>
  <c r="H17" i="5"/>
  <c r="E17" i="5"/>
  <c r="C17" i="5"/>
  <c r="B17" i="5"/>
  <c r="A17" i="5"/>
  <c r="H15" i="5"/>
  <c r="E15" i="5"/>
  <c r="C15" i="5"/>
  <c r="B15" i="5"/>
  <c r="A15" i="5"/>
  <c r="H14" i="5"/>
  <c r="E14" i="5"/>
  <c r="C14" i="5"/>
  <c r="B14" i="5"/>
  <c r="A14" i="5"/>
  <c r="H13" i="5"/>
  <c r="E13" i="5"/>
  <c r="C13" i="5"/>
  <c r="B13" i="5"/>
  <c r="A13" i="5"/>
  <c r="H5" i="5"/>
  <c r="E5" i="5"/>
  <c r="C5" i="5"/>
  <c r="B5" i="5"/>
  <c r="A5" i="5"/>
  <c r="H8" i="5"/>
  <c r="E8" i="5"/>
  <c r="C8" i="5"/>
  <c r="B8" i="5"/>
  <c r="A8" i="5"/>
  <c r="H16" i="5"/>
  <c r="E16" i="5"/>
  <c r="C16" i="5"/>
  <c r="B16" i="5"/>
  <c r="A16" i="5"/>
  <c r="H6" i="5"/>
  <c r="E6" i="5"/>
  <c r="C6" i="5"/>
  <c r="B6" i="5"/>
  <c r="A6" i="5"/>
  <c r="H9" i="5"/>
  <c r="E9" i="5"/>
  <c r="C9" i="5"/>
  <c r="B9" i="5"/>
  <c r="A9" i="5"/>
  <c r="H4" i="5"/>
  <c r="E4" i="5"/>
  <c r="C4" i="5"/>
  <c r="B4" i="5"/>
  <c r="A4" i="5"/>
  <c r="H7" i="5"/>
  <c r="E7" i="5"/>
  <c r="C7" i="5"/>
  <c r="B7" i="5"/>
  <c r="A7" i="5"/>
  <c r="H18" i="5"/>
  <c r="E18" i="5"/>
  <c r="F18" i="5" s="1"/>
  <c r="C18" i="5"/>
  <c r="B18" i="5"/>
  <c r="A18" i="5"/>
  <c r="H12" i="5"/>
  <c r="E12" i="5"/>
  <c r="C12" i="5"/>
  <c r="B12" i="5"/>
  <c r="A12" i="5"/>
  <c r="H11" i="5"/>
  <c r="E11" i="5"/>
  <c r="B11" i="5"/>
  <c r="A11" i="5"/>
  <c r="H10" i="5"/>
  <c r="E10" i="5"/>
  <c r="C10" i="5"/>
  <c r="B10" i="5"/>
  <c r="A10" i="5"/>
  <c r="H2" i="5"/>
  <c r="E2" i="5"/>
  <c r="C2" i="5"/>
  <c r="B2" i="5"/>
  <c r="A2" i="5"/>
  <c r="H3" i="5"/>
  <c r="E3" i="5"/>
  <c r="C3" i="5"/>
  <c r="B3" i="5"/>
  <c r="A3" i="5"/>
  <c r="J100" i="4"/>
  <c r="K100" i="4" s="1"/>
  <c r="H100" i="4"/>
  <c r="I100" i="4" s="1"/>
  <c r="E100" i="4"/>
  <c r="F100" i="4" s="1"/>
  <c r="K99" i="4"/>
  <c r="J99" i="4"/>
  <c r="H99" i="4"/>
  <c r="I99" i="4" s="1"/>
  <c r="E99" i="4"/>
  <c r="F99" i="4" s="1"/>
  <c r="J98" i="4"/>
  <c r="K98" i="4" s="1"/>
  <c r="H98" i="4"/>
  <c r="I98" i="4" s="1"/>
  <c r="E98" i="4"/>
  <c r="F98" i="4" s="1"/>
  <c r="J97" i="4"/>
  <c r="K97" i="4" s="1"/>
  <c r="H97" i="4"/>
  <c r="I97" i="4" s="1"/>
  <c r="E97" i="4"/>
  <c r="F97" i="4" s="1"/>
  <c r="J96" i="4"/>
  <c r="K96" i="4" s="1"/>
  <c r="H96" i="4"/>
  <c r="I96" i="4" s="1"/>
  <c r="E96" i="4"/>
  <c r="F96" i="4" s="1"/>
  <c r="J95" i="4"/>
  <c r="K95" i="4" s="1"/>
  <c r="H95" i="4"/>
  <c r="I95" i="4" s="1"/>
  <c r="E95" i="4"/>
  <c r="F95" i="4" s="1"/>
  <c r="J94" i="4"/>
  <c r="K94" i="4" s="1"/>
  <c r="H94" i="4"/>
  <c r="I94" i="4" s="1"/>
  <c r="E94" i="4"/>
  <c r="F94" i="4" s="1"/>
  <c r="K93" i="4"/>
  <c r="J93" i="4"/>
  <c r="H93" i="4"/>
  <c r="I93" i="4" s="1"/>
  <c r="E93" i="4"/>
  <c r="F93" i="4" s="1"/>
  <c r="J92" i="4"/>
  <c r="K92" i="4" s="1"/>
  <c r="H92" i="4"/>
  <c r="I92" i="4" s="1"/>
  <c r="E92" i="4"/>
  <c r="F92" i="4" s="1"/>
  <c r="J91" i="4"/>
  <c r="K91" i="4" s="1"/>
  <c r="H91" i="4"/>
  <c r="I91" i="4" s="1"/>
  <c r="E91" i="4"/>
  <c r="F91" i="4" s="1"/>
  <c r="J90" i="4"/>
  <c r="K90" i="4" s="1"/>
  <c r="H90" i="4"/>
  <c r="I90" i="4" s="1"/>
  <c r="E90" i="4"/>
  <c r="F90" i="4" s="1"/>
  <c r="K89" i="4"/>
  <c r="J89" i="4"/>
  <c r="H89" i="4"/>
  <c r="I89" i="4" s="1"/>
  <c r="E89" i="4"/>
  <c r="F89" i="4" s="1"/>
  <c r="J88" i="4"/>
  <c r="K88" i="4" s="1"/>
  <c r="H88" i="4"/>
  <c r="I88" i="4" s="1"/>
  <c r="E88" i="4"/>
  <c r="F88" i="4" s="1"/>
  <c r="K87" i="4"/>
  <c r="J87" i="4"/>
  <c r="H87" i="4"/>
  <c r="I87" i="4" s="1"/>
  <c r="E87" i="4"/>
  <c r="F87" i="4" s="1"/>
  <c r="J86" i="4"/>
  <c r="K86" i="4" s="1"/>
  <c r="H86" i="4"/>
  <c r="I86" i="4" s="1"/>
  <c r="E86" i="4"/>
  <c r="F86" i="4" s="1"/>
  <c r="J85" i="4"/>
  <c r="K85" i="4" s="1"/>
  <c r="H85" i="4"/>
  <c r="I85" i="4" s="1"/>
  <c r="E85" i="4"/>
  <c r="F85" i="4" s="1"/>
  <c r="J84" i="4"/>
  <c r="K84" i="4" s="1"/>
  <c r="H84" i="4"/>
  <c r="I84" i="4" s="1"/>
  <c r="E84" i="4"/>
  <c r="F84" i="4" s="1"/>
  <c r="J83" i="4"/>
  <c r="K83" i="4" s="1"/>
  <c r="H83" i="4"/>
  <c r="I83" i="4" s="1"/>
  <c r="E83" i="4"/>
  <c r="F83" i="4" s="1"/>
  <c r="J82" i="4"/>
  <c r="K82" i="4" s="1"/>
  <c r="H82" i="4"/>
  <c r="I82" i="4" s="1"/>
  <c r="E82" i="4"/>
  <c r="F82" i="4" s="1"/>
  <c r="K81" i="4"/>
  <c r="J81" i="4"/>
  <c r="H81" i="4"/>
  <c r="I81" i="4" s="1"/>
  <c r="E81" i="4"/>
  <c r="F81" i="4" s="1"/>
  <c r="J80" i="4"/>
  <c r="K80" i="4" s="1"/>
  <c r="H80" i="4"/>
  <c r="I80" i="4" s="1"/>
  <c r="E80" i="4"/>
  <c r="F80" i="4" s="1"/>
  <c r="J79" i="4"/>
  <c r="K79" i="4" s="1"/>
  <c r="H79" i="4"/>
  <c r="I79" i="4" s="1"/>
  <c r="E79" i="4"/>
  <c r="F79" i="4" s="1"/>
  <c r="J78" i="4"/>
  <c r="K78" i="4" s="1"/>
  <c r="H78" i="4"/>
  <c r="I78" i="4" s="1"/>
  <c r="E78" i="4"/>
  <c r="F78" i="4" s="1"/>
  <c r="K77" i="4"/>
  <c r="J77" i="4"/>
  <c r="H77" i="4"/>
  <c r="I77" i="4" s="1"/>
  <c r="E77" i="4"/>
  <c r="F77" i="4" s="1"/>
  <c r="J76" i="4"/>
  <c r="K76" i="4" s="1"/>
  <c r="H76" i="4"/>
  <c r="I76" i="4" s="1"/>
  <c r="E76" i="4"/>
  <c r="F76" i="4" s="1"/>
  <c r="K75" i="4"/>
  <c r="J75" i="4"/>
  <c r="H75" i="4"/>
  <c r="I75" i="4" s="1"/>
  <c r="E75" i="4"/>
  <c r="F75" i="4" s="1"/>
  <c r="J74" i="4"/>
  <c r="K74" i="4" s="1"/>
  <c r="H74" i="4"/>
  <c r="I74" i="4" s="1"/>
  <c r="E74" i="4"/>
  <c r="F74" i="4" s="1"/>
  <c r="J73" i="4"/>
  <c r="K73" i="4" s="1"/>
  <c r="H73" i="4"/>
  <c r="I73" i="4" s="1"/>
  <c r="E73" i="4"/>
  <c r="F73" i="4" s="1"/>
  <c r="J72" i="4"/>
  <c r="K72" i="4" s="1"/>
  <c r="H72" i="4"/>
  <c r="I72" i="4" s="1"/>
  <c r="E72" i="4"/>
  <c r="F72" i="4" s="1"/>
  <c r="J71" i="4"/>
  <c r="K71" i="4" s="1"/>
  <c r="H71" i="4"/>
  <c r="I71" i="4" s="1"/>
  <c r="E71" i="4"/>
  <c r="F71" i="4" s="1"/>
  <c r="J70" i="4"/>
  <c r="K70" i="4" s="1"/>
  <c r="H70" i="4"/>
  <c r="I70" i="4" s="1"/>
  <c r="E70" i="4"/>
  <c r="F70" i="4" s="1"/>
  <c r="K69" i="4"/>
  <c r="J69" i="4"/>
  <c r="H69" i="4"/>
  <c r="I69" i="4" s="1"/>
  <c r="E69" i="4"/>
  <c r="F69" i="4" s="1"/>
  <c r="J68" i="4"/>
  <c r="K68" i="4" s="1"/>
  <c r="H68" i="4"/>
  <c r="I68" i="4" s="1"/>
  <c r="E68" i="4"/>
  <c r="F68" i="4" s="1"/>
  <c r="J67" i="4"/>
  <c r="K67" i="4" s="1"/>
  <c r="H67" i="4"/>
  <c r="I67" i="4" s="1"/>
  <c r="E67" i="4"/>
  <c r="F67" i="4" s="1"/>
  <c r="J66" i="4"/>
  <c r="K66" i="4" s="1"/>
  <c r="H66" i="4"/>
  <c r="I66" i="4" s="1"/>
  <c r="E66" i="4"/>
  <c r="F66" i="4" s="1"/>
  <c r="J65" i="4"/>
  <c r="K65" i="4" s="1"/>
  <c r="H65" i="4"/>
  <c r="I65" i="4" s="1"/>
  <c r="E65" i="4"/>
  <c r="F65" i="4" s="1"/>
  <c r="J64" i="4"/>
  <c r="K64" i="4" s="1"/>
  <c r="H64" i="4"/>
  <c r="I64" i="4" s="1"/>
  <c r="E64" i="4"/>
  <c r="F64" i="4" s="1"/>
  <c r="K63" i="4"/>
  <c r="J63" i="4"/>
  <c r="H63" i="4"/>
  <c r="I63" i="4" s="1"/>
  <c r="E63" i="4"/>
  <c r="F63" i="4" s="1"/>
  <c r="K62" i="4"/>
  <c r="J62" i="4"/>
  <c r="H62" i="4"/>
  <c r="I62" i="4" s="1"/>
  <c r="E62" i="4"/>
  <c r="F62" i="4" s="1"/>
  <c r="K61" i="4"/>
  <c r="J61" i="4"/>
  <c r="H61" i="4"/>
  <c r="I61" i="4" s="1"/>
  <c r="E61" i="4"/>
  <c r="F61" i="4" s="1"/>
  <c r="K60" i="4"/>
  <c r="J60" i="4"/>
  <c r="H60" i="4"/>
  <c r="I60" i="4" s="1"/>
  <c r="E60" i="4"/>
  <c r="F60" i="4" s="1"/>
  <c r="K59" i="4"/>
  <c r="J59" i="4"/>
  <c r="H59" i="4"/>
  <c r="I59" i="4" s="1"/>
  <c r="E59" i="4"/>
  <c r="F59" i="4" s="1"/>
  <c r="K58" i="4"/>
  <c r="J58" i="4"/>
  <c r="H58" i="4"/>
  <c r="I58" i="4" s="1"/>
  <c r="E58" i="4"/>
  <c r="F58" i="4" s="1"/>
  <c r="K57" i="4"/>
  <c r="J57" i="4"/>
  <c r="H57" i="4"/>
  <c r="I57" i="4" s="1"/>
  <c r="E57" i="4"/>
  <c r="F57" i="4" s="1"/>
  <c r="K56" i="4"/>
  <c r="J56" i="4"/>
  <c r="H56" i="4"/>
  <c r="I56" i="4" s="1"/>
  <c r="E56" i="4"/>
  <c r="F56" i="4" s="1"/>
  <c r="K55" i="4"/>
  <c r="J55" i="4"/>
  <c r="H55" i="4"/>
  <c r="I55" i="4" s="1"/>
  <c r="E55" i="4"/>
  <c r="F55" i="4" s="1"/>
  <c r="K54" i="4"/>
  <c r="J54" i="4"/>
  <c r="H54" i="4"/>
  <c r="I54" i="4" s="1"/>
  <c r="E54" i="4"/>
  <c r="F54" i="4" s="1"/>
  <c r="K53" i="4"/>
  <c r="J53" i="4"/>
  <c r="H53" i="4"/>
  <c r="I53" i="4" s="1"/>
  <c r="E53" i="4"/>
  <c r="F53" i="4" s="1"/>
  <c r="K52" i="4"/>
  <c r="J52" i="4"/>
  <c r="H52" i="4"/>
  <c r="I52" i="4" s="1"/>
  <c r="E52" i="4"/>
  <c r="F52" i="4" s="1"/>
  <c r="K51" i="4"/>
  <c r="J51" i="4"/>
  <c r="H51" i="4"/>
  <c r="I51" i="4" s="1"/>
  <c r="E51" i="4"/>
  <c r="F51" i="4" s="1"/>
  <c r="K50" i="4"/>
  <c r="J50" i="4"/>
  <c r="H50" i="4"/>
  <c r="I50" i="4" s="1"/>
  <c r="E50" i="4"/>
  <c r="F50" i="4" s="1"/>
  <c r="K49" i="4"/>
  <c r="J49" i="4"/>
  <c r="H49" i="4"/>
  <c r="I49" i="4" s="1"/>
  <c r="E49" i="4"/>
  <c r="F49" i="4" s="1"/>
  <c r="K48" i="4"/>
  <c r="J48" i="4"/>
  <c r="H48" i="4"/>
  <c r="I48" i="4" s="1"/>
  <c r="E48" i="4"/>
  <c r="F48" i="4" s="1"/>
  <c r="K47" i="4"/>
  <c r="J47" i="4"/>
  <c r="H47" i="4"/>
  <c r="I47" i="4" s="1"/>
  <c r="E47" i="4"/>
  <c r="F47" i="4" s="1"/>
  <c r="K46" i="4"/>
  <c r="J46" i="4"/>
  <c r="H46" i="4"/>
  <c r="I46" i="4" s="1"/>
  <c r="E46" i="4"/>
  <c r="F46" i="4" s="1"/>
  <c r="K45" i="4"/>
  <c r="J45" i="4"/>
  <c r="H45" i="4"/>
  <c r="I45" i="4" s="1"/>
  <c r="E45" i="4"/>
  <c r="F45" i="4" s="1"/>
  <c r="K44" i="4"/>
  <c r="J44" i="4"/>
  <c r="H44" i="4"/>
  <c r="I44" i="4" s="1"/>
  <c r="E44" i="4"/>
  <c r="F44" i="4" s="1"/>
  <c r="K43" i="4"/>
  <c r="J43" i="4"/>
  <c r="H43" i="4"/>
  <c r="I43" i="4" s="1"/>
  <c r="E43" i="4"/>
  <c r="F43" i="4" s="1"/>
  <c r="K42" i="4"/>
  <c r="J42" i="4"/>
  <c r="H42" i="4"/>
  <c r="I42" i="4" s="1"/>
  <c r="E42" i="4"/>
  <c r="F42" i="4" s="1"/>
  <c r="K41" i="4"/>
  <c r="J41" i="4"/>
  <c r="H41" i="4"/>
  <c r="I41" i="4" s="1"/>
  <c r="E41" i="4"/>
  <c r="F41" i="4" s="1"/>
  <c r="K40" i="4"/>
  <c r="J40" i="4"/>
  <c r="H40" i="4"/>
  <c r="I40" i="4" s="1"/>
  <c r="E40" i="4"/>
  <c r="F40" i="4" s="1"/>
  <c r="K39" i="4"/>
  <c r="J39" i="4"/>
  <c r="H39" i="4"/>
  <c r="I39" i="4" s="1"/>
  <c r="E39" i="4"/>
  <c r="F39" i="4" s="1"/>
  <c r="K38" i="4"/>
  <c r="J38" i="4"/>
  <c r="H38" i="4"/>
  <c r="I38" i="4" s="1"/>
  <c r="E38" i="4"/>
  <c r="F38" i="4" s="1"/>
  <c r="K37" i="4"/>
  <c r="J37" i="4"/>
  <c r="H37" i="4"/>
  <c r="I37" i="4" s="1"/>
  <c r="E37" i="4"/>
  <c r="F37" i="4" s="1"/>
  <c r="K36" i="4"/>
  <c r="J36" i="4"/>
  <c r="H36" i="4"/>
  <c r="I36" i="4" s="1"/>
  <c r="E36" i="4"/>
  <c r="F36" i="4" s="1"/>
  <c r="K35" i="4"/>
  <c r="J35" i="4"/>
  <c r="H35" i="4"/>
  <c r="I35" i="4" s="1"/>
  <c r="E35" i="4"/>
  <c r="F35" i="4" s="1"/>
  <c r="K34" i="4"/>
  <c r="J34" i="4"/>
  <c r="H34" i="4"/>
  <c r="I34" i="4" s="1"/>
  <c r="E34" i="4"/>
  <c r="F34" i="4" s="1"/>
  <c r="K33" i="4"/>
  <c r="J33" i="4"/>
  <c r="H33" i="4"/>
  <c r="I33" i="4" s="1"/>
  <c r="E33" i="4"/>
  <c r="F33" i="4" s="1"/>
  <c r="K32" i="4"/>
  <c r="J32" i="4"/>
  <c r="H32" i="4"/>
  <c r="I32" i="4" s="1"/>
  <c r="E32" i="4"/>
  <c r="F32" i="4" s="1"/>
  <c r="K31" i="4"/>
  <c r="J31" i="4"/>
  <c r="H31" i="4"/>
  <c r="I31" i="4" s="1"/>
  <c r="E31" i="4"/>
  <c r="F31" i="4" s="1"/>
  <c r="K30" i="4"/>
  <c r="J30" i="4"/>
  <c r="H30" i="4"/>
  <c r="I30" i="4" s="1"/>
  <c r="E30" i="4"/>
  <c r="F30" i="4" s="1"/>
  <c r="K29" i="4"/>
  <c r="J29" i="4"/>
  <c r="H29" i="4"/>
  <c r="I29" i="4" s="1"/>
  <c r="E29" i="4"/>
  <c r="F29" i="4" s="1"/>
  <c r="K28" i="4"/>
  <c r="J28" i="4"/>
  <c r="H28" i="4"/>
  <c r="I28" i="4" s="1"/>
  <c r="E28" i="4"/>
  <c r="F28" i="4" s="1"/>
  <c r="K27" i="4"/>
  <c r="J27" i="4"/>
  <c r="H27" i="4"/>
  <c r="I27" i="4" s="1"/>
  <c r="E27" i="4"/>
  <c r="F27" i="4" s="1"/>
  <c r="K26" i="4"/>
  <c r="J26" i="4"/>
  <c r="H26" i="4"/>
  <c r="I26" i="4" s="1"/>
  <c r="E26" i="4"/>
  <c r="F26" i="4" s="1"/>
  <c r="K25" i="4"/>
  <c r="J25" i="4"/>
  <c r="H25" i="4"/>
  <c r="I25" i="4" s="1"/>
  <c r="E25" i="4"/>
  <c r="F25" i="4" s="1"/>
  <c r="K24" i="4"/>
  <c r="J24" i="4"/>
  <c r="H24" i="4"/>
  <c r="I24" i="4" s="1"/>
  <c r="E24" i="4"/>
  <c r="F24" i="4" s="1"/>
  <c r="K23" i="4"/>
  <c r="H23" i="4"/>
  <c r="I23" i="4" s="1"/>
  <c r="E23" i="4"/>
  <c r="F23" i="4" s="1"/>
  <c r="K22" i="4"/>
  <c r="H22" i="4"/>
  <c r="I22" i="4" s="1"/>
  <c r="E22" i="4"/>
  <c r="F22" i="4" s="1"/>
  <c r="K21" i="4"/>
  <c r="H21" i="4"/>
  <c r="I21" i="4" s="1"/>
  <c r="E21" i="4"/>
  <c r="F21" i="4" s="1"/>
  <c r="K20" i="4"/>
  <c r="H20" i="4"/>
  <c r="I20" i="4" s="1"/>
  <c r="E20" i="4"/>
  <c r="F20" i="4" s="1"/>
  <c r="K19" i="4"/>
  <c r="H19" i="4"/>
  <c r="I19" i="4" s="1"/>
  <c r="E19" i="4"/>
  <c r="F19" i="4" s="1"/>
  <c r="K18" i="4"/>
  <c r="H18" i="4"/>
  <c r="I18" i="4" s="1"/>
  <c r="E18" i="4"/>
  <c r="F18" i="4" s="1"/>
  <c r="K17" i="4"/>
  <c r="H17" i="4"/>
  <c r="I17" i="4" s="1"/>
  <c r="E17" i="4"/>
  <c r="F17" i="4" s="1"/>
  <c r="K16" i="4"/>
  <c r="H16" i="4"/>
  <c r="I16" i="4" s="1"/>
  <c r="E16" i="4"/>
  <c r="F16" i="4" s="1"/>
  <c r="K15" i="4"/>
  <c r="H15" i="4"/>
  <c r="I15" i="4" s="1"/>
  <c r="E15" i="4"/>
  <c r="F15" i="4" s="1"/>
  <c r="H14" i="4"/>
  <c r="I14" i="4" s="1"/>
  <c r="E14" i="4"/>
  <c r="F14" i="4" s="1"/>
  <c r="K13" i="4"/>
  <c r="H13" i="4"/>
  <c r="I13" i="4" s="1"/>
  <c r="E13" i="4"/>
  <c r="F13" i="4" s="1"/>
  <c r="K12" i="4"/>
  <c r="H12" i="4"/>
  <c r="I12" i="4" s="1"/>
  <c r="E12" i="4"/>
  <c r="F12" i="4" s="1"/>
  <c r="K11" i="4"/>
  <c r="H11" i="4"/>
  <c r="I11" i="4" s="1"/>
  <c r="E11" i="4"/>
  <c r="F11" i="4" s="1"/>
  <c r="K10" i="4"/>
  <c r="H10" i="4"/>
  <c r="I10" i="4" s="1"/>
  <c r="E10" i="4"/>
  <c r="F10" i="4" s="1"/>
  <c r="K9" i="4"/>
  <c r="H9" i="4"/>
  <c r="I9" i="4" s="1"/>
  <c r="E9" i="4"/>
  <c r="F9" i="4" s="1"/>
  <c r="K8" i="4"/>
  <c r="H8" i="4"/>
  <c r="I8" i="4" s="1"/>
  <c r="E8" i="4"/>
  <c r="F8" i="4" s="1"/>
  <c r="H4" i="4"/>
  <c r="E4" i="4"/>
  <c r="C4" i="4"/>
  <c r="B4" i="4"/>
  <c r="A4" i="4"/>
  <c r="H6" i="4"/>
  <c r="E6" i="4"/>
  <c r="C6" i="4"/>
  <c r="B6" i="4"/>
  <c r="A6" i="4"/>
  <c r="H5" i="4"/>
  <c r="E5" i="4"/>
  <c r="C5" i="4"/>
  <c r="B5" i="4"/>
  <c r="A5" i="4"/>
  <c r="H3" i="4"/>
  <c r="E3" i="4"/>
  <c r="C3" i="4"/>
  <c r="B3" i="4"/>
  <c r="A3" i="4"/>
  <c r="H7" i="4"/>
  <c r="E7" i="4"/>
  <c r="C7" i="4"/>
  <c r="B7" i="4"/>
  <c r="A7" i="4"/>
  <c r="H2" i="4"/>
  <c r="E2" i="4"/>
  <c r="C2" i="4"/>
  <c r="B2" i="4"/>
  <c r="A2" i="4"/>
  <c r="K100" i="3"/>
  <c r="J100" i="3"/>
  <c r="H100" i="3"/>
  <c r="I100" i="3" s="1"/>
  <c r="E100" i="3"/>
  <c r="F100" i="3" s="1"/>
  <c r="K99" i="3"/>
  <c r="J99" i="3"/>
  <c r="H99" i="3"/>
  <c r="I99" i="3" s="1"/>
  <c r="E99" i="3"/>
  <c r="F99" i="3" s="1"/>
  <c r="K98" i="3"/>
  <c r="J98" i="3"/>
  <c r="H98" i="3"/>
  <c r="I98" i="3" s="1"/>
  <c r="E98" i="3"/>
  <c r="F98" i="3" s="1"/>
  <c r="K97" i="3"/>
  <c r="J97" i="3"/>
  <c r="H97" i="3"/>
  <c r="I97" i="3" s="1"/>
  <c r="E97" i="3"/>
  <c r="F97" i="3" s="1"/>
  <c r="K96" i="3"/>
  <c r="J96" i="3"/>
  <c r="H96" i="3"/>
  <c r="I96" i="3" s="1"/>
  <c r="E96" i="3"/>
  <c r="F96" i="3" s="1"/>
  <c r="K95" i="3"/>
  <c r="J95" i="3"/>
  <c r="H95" i="3"/>
  <c r="I95" i="3" s="1"/>
  <c r="E95" i="3"/>
  <c r="F95" i="3" s="1"/>
  <c r="K94" i="3"/>
  <c r="J94" i="3"/>
  <c r="H94" i="3"/>
  <c r="I94" i="3" s="1"/>
  <c r="E94" i="3"/>
  <c r="F94" i="3" s="1"/>
  <c r="K93" i="3"/>
  <c r="J93" i="3"/>
  <c r="H93" i="3"/>
  <c r="I93" i="3" s="1"/>
  <c r="E93" i="3"/>
  <c r="F93" i="3" s="1"/>
  <c r="K92" i="3"/>
  <c r="J92" i="3"/>
  <c r="H92" i="3"/>
  <c r="I92" i="3" s="1"/>
  <c r="E92" i="3"/>
  <c r="F92" i="3" s="1"/>
  <c r="K91" i="3"/>
  <c r="J91" i="3"/>
  <c r="H91" i="3"/>
  <c r="I91" i="3" s="1"/>
  <c r="E91" i="3"/>
  <c r="F91" i="3" s="1"/>
  <c r="K90" i="3"/>
  <c r="J90" i="3"/>
  <c r="H90" i="3"/>
  <c r="I90" i="3" s="1"/>
  <c r="E90" i="3"/>
  <c r="F90" i="3" s="1"/>
  <c r="K89" i="3"/>
  <c r="J89" i="3"/>
  <c r="H89" i="3"/>
  <c r="I89" i="3" s="1"/>
  <c r="E89" i="3"/>
  <c r="F89" i="3" s="1"/>
  <c r="K88" i="3"/>
  <c r="J88" i="3"/>
  <c r="H88" i="3"/>
  <c r="I88" i="3" s="1"/>
  <c r="E88" i="3"/>
  <c r="F88" i="3" s="1"/>
  <c r="K87" i="3"/>
  <c r="J87" i="3"/>
  <c r="H87" i="3"/>
  <c r="I87" i="3" s="1"/>
  <c r="E87" i="3"/>
  <c r="F87" i="3" s="1"/>
  <c r="K86" i="3"/>
  <c r="J86" i="3"/>
  <c r="H86" i="3"/>
  <c r="I86" i="3" s="1"/>
  <c r="E86" i="3"/>
  <c r="F86" i="3" s="1"/>
  <c r="K85" i="3"/>
  <c r="J85" i="3"/>
  <c r="H85" i="3"/>
  <c r="I85" i="3" s="1"/>
  <c r="E85" i="3"/>
  <c r="F85" i="3" s="1"/>
  <c r="K84" i="3"/>
  <c r="J84" i="3"/>
  <c r="H84" i="3"/>
  <c r="I84" i="3" s="1"/>
  <c r="E84" i="3"/>
  <c r="F84" i="3" s="1"/>
  <c r="K83" i="3"/>
  <c r="J83" i="3"/>
  <c r="H83" i="3"/>
  <c r="I83" i="3" s="1"/>
  <c r="E83" i="3"/>
  <c r="F83" i="3" s="1"/>
  <c r="K82" i="3"/>
  <c r="J82" i="3"/>
  <c r="H82" i="3"/>
  <c r="I82" i="3" s="1"/>
  <c r="E82" i="3"/>
  <c r="F82" i="3" s="1"/>
  <c r="K81" i="3"/>
  <c r="J81" i="3"/>
  <c r="H81" i="3"/>
  <c r="I81" i="3" s="1"/>
  <c r="E81" i="3"/>
  <c r="F81" i="3" s="1"/>
  <c r="K80" i="3"/>
  <c r="J80" i="3"/>
  <c r="H80" i="3"/>
  <c r="I80" i="3" s="1"/>
  <c r="E80" i="3"/>
  <c r="F80" i="3" s="1"/>
  <c r="K79" i="3"/>
  <c r="J79" i="3"/>
  <c r="H79" i="3"/>
  <c r="I79" i="3" s="1"/>
  <c r="E79" i="3"/>
  <c r="F79" i="3" s="1"/>
  <c r="K78" i="3"/>
  <c r="J78" i="3"/>
  <c r="H78" i="3"/>
  <c r="I78" i="3" s="1"/>
  <c r="E78" i="3"/>
  <c r="F78" i="3" s="1"/>
  <c r="K77" i="3"/>
  <c r="J77" i="3"/>
  <c r="H77" i="3"/>
  <c r="I77" i="3" s="1"/>
  <c r="E77" i="3"/>
  <c r="F77" i="3" s="1"/>
  <c r="K76" i="3"/>
  <c r="J76" i="3"/>
  <c r="H76" i="3"/>
  <c r="I76" i="3" s="1"/>
  <c r="E76" i="3"/>
  <c r="F76" i="3" s="1"/>
  <c r="K75" i="3"/>
  <c r="J75" i="3"/>
  <c r="H75" i="3"/>
  <c r="I75" i="3" s="1"/>
  <c r="E75" i="3"/>
  <c r="F75" i="3" s="1"/>
  <c r="K74" i="3"/>
  <c r="J74" i="3"/>
  <c r="H74" i="3"/>
  <c r="I74" i="3" s="1"/>
  <c r="E74" i="3"/>
  <c r="F74" i="3" s="1"/>
  <c r="K73" i="3"/>
  <c r="J73" i="3"/>
  <c r="H73" i="3"/>
  <c r="I73" i="3" s="1"/>
  <c r="E73" i="3"/>
  <c r="F73" i="3" s="1"/>
  <c r="K72" i="3"/>
  <c r="J72" i="3"/>
  <c r="H72" i="3"/>
  <c r="I72" i="3" s="1"/>
  <c r="E72" i="3"/>
  <c r="F72" i="3" s="1"/>
  <c r="K71" i="3"/>
  <c r="J71" i="3"/>
  <c r="H71" i="3"/>
  <c r="I71" i="3" s="1"/>
  <c r="E71" i="3"/>
  <c r="F71" i="3" s="1"/>
  <c r="K70" i="3"/>
  <c r="J70" i="3"/>
  <c r="H70" i="3"/>
  <c r="I70" i="3" s="1"/>
  <c r="E70" i="3"/>
  <c r="F70" i="3" s="1"/>
  <c r="K69" i="3"/>
  <c r="J69" i="3"/>
  <c r="H69" i="3"/>
  <c r="I69" i="3" s="1"/>
  <c r="E69" i="3"/>
  <c r="F69" i="3" s="1"/>
  <c r="K68" i="3"/>
  <c r="J68" i="3"/>
  <c r="H68" i="3"/>
  <c r="I68" i="3" s="1"/>
  <c r="E68" i="3"/>
  <c r="F68" i="3" s="1"/>
  <c r="K67" i="3"/>
  <c r="J67" i="3"/>
  <c r="H67" i="3"/>
  <c r="I67" i="3" s="1"/>
  <c r="E67" i="3"/>
  <c r="F67" i="3" s="1"/>
  <c r="K66" i="3"/>
  <c r="J66" i="3"/>
  <c r="H66" i="3"/>
  <c r="I66" i="3" s="1"/>
  <c r="E66" i="3"/>
  <c r="F66" i="3" s="1"/>
  <c r="K65" i="3"/>
  <c r="J65" i="3"/>
  <c r="H65" i="3"/>
  <c r="I65" i="3" s="1"/>
  <c r="E65" i="3"/>
  <c r="F65" i="3" s="1"/>
  <c r="K64" i="3"/>
  <c r="J64" i="3"/>
  <c r="H64" i="3"/>
  <c r="I64" i="3" s="1"/>
  <c r="E64" i="3"/>
  <c r="F64" i="3" s="1"/>
  <c r="K63" i="3"/>
  <c r="J63" i="3"/>
  <c r="H63" i="3"/>
  <c r="I63" i="3" s="1"/>
  <c r="E63" i="3"/>
  <c r="F63" i="3" s="1"/>
  <c r="K62" i="3"/>
  <c r="J62" i="3"/>
  <c r="H62" i="3"/>
  <c r="I62" i="3" s="1"/>
  <c r="E62" i="3"/>
  <c r="F62" i="3" s="1"/>
  <c r="K61" i="3"/>
  <c r="J61" i="3"/>
  <c r="H61" i="3"/>
  <c r="I61" i="3" s="1"/>
  <c r="E61" i="3"/>
  <c r="F61" i="3" s="1"/>
  <c r="K60" i="3"/>
  <c r="J60" i="3"/>
  <c r="H60" i="3"/>
  <c r="I60" i="3" s="1"/>
  <c r="E60" i="3"/>
  <c r="F60" i="3" s="1"/>
  <c r="K59" i="3"/>
  <c r="J59" i="3"/>
  <c r="H59" i="3"/>
  <c r="I59" i="3" s="1"/>
  <c r="E59" i="3"/>
  <c r="F59" i="3" s="1"/>
  <c r="K58" i="3"/>
  <c r="J58" i="3"/>
  <c r="H58" i="3"/>
  <c r="I58" i="3" s="1"/>
  <c r="E58" i="3"/>
  <c r="F58" i="3" s="1"/>
  <c r="K57" i="3"/>
  <c r="J57" i="3"/>
  <c r="H57" i="3"/>
  <c r="I57" i="3" s="1"/>
  <c r="E57" i="3"/>
  <c r="F57" i="3" s="1"/>
  <c r="K56" i="3"/>
  <c r="J56" i="3"/>
  <c r="H56" i="3"/>
  <c r="I56" i="3" s="1"/>
  <c r="E56" i="3"/>
  <c r="F56" i="3" s="1"/>
  <c r="K55" i="3"/>
  <c r="J55" i="3"/>
  <c r="H55" i="3"/>
  <c r="I55" i="3" s="1"/>
  <c r="E55" i="3"/>
  <c r="F55" i="3" s="1"/>
  <c r="K54" i="3"/>
  <c r="J54" i="3"/>
  <c r="H54" i="3"/>
  <c r="I54" i="3" s="1"/>
  <c r="E54" i="3"/>
  <c r="F54" i="3" s="1"/>
  <c r="K53" i="3"/>
  <c r="J53" i="3"/>
  <c r="H53" i="3"/>
  <c r="I53" i="3" s="1"/>
  <c r="E53" i="3"/>
  <c r="F53" i="3" s="1"/>
  <c r="K52" i="3"/>
  <c r="J52" i="3"/>
  <c r="H52" i="3"/>
  <c r="I52" i="3" s="1"/>
  <c r="E52" i="3"/>
  <c r="F52" i="3" s="1"/>
  <c r="K51" i="3"/>
  <c r="J51" i="3"/>
  <c r="H51" i="3"/>
  <c r="I51" i="3" s="1"/>
  <c r="E51" i="3"/>
  <c r="F51" i="3" s="1"/>
  <c r="K50" i="3"/>
  <c r="J50" i="3"/>
  <c r="H50" i="3"/>
  <c r="I50" i="3" s="1"/>
  <c r="E50" i="3"/>
  <c r="F50" i="3" s="1"/>
  <c r="K49" i="3"/>
  <c r="J49" i="3"/>
  <c r="H49" i="3"/>
  <c r="I49" i="3" s="1"/>
  <c r="E49" i="3"/>
  <c r="F49" i="3" s="1"/>
  <c r="K48" i="3"/>
  <c r="J48" i="3"/>
  <c r="H48" i="3"/>
  <c r="I48" i="3" s="1"/>
  <c r="E48" i="3"/>
  <c r="F48" i="3" s="1"/>
  <c r="K47" i="3"/>
  <c r="J47" i="3"/>
  <c r="H47" i="3"/>
  <c r="I47" i="3" s="1"/>
  <c r="E47" i="3"/>
  <c r="F47" i="3" s="1"/>
  <c r="K46" i="3"/>
  <c r="J46" i="3"/>
  <c r="H46" i="3"/>
  <c r="I46" i="3" s="1"/>
  <c r="E46" i="3"/>
  <c r="F46" i="3" s="1"/>
  <c r="K45" i="3"/>
  <c r="J45" i="3"/>
  <c r="H45" i="3"/>
  <c r="I45" i="3" s="1"/>
  <c r="E45" i="3"/>
  <c r="F45" i="3" s="1"/>
  <c r="K44" i="3"/>
  <c r="J44" i="3"/>
  <c r="H44" i="3"/>
  <c r="I44" i="3" s="1"/>
  <c r="E44" i="3"/>
  <c r="F44" i="3" s="1"/>
  <c r="K43" i="3"/>
  <c r="J43" i="3"/>
  <c r="H43" i="3"/>
  <c r="I43" i="3" s="1"/>
  <c r="E43" i="3"/>
  <c r="F43" i="3" s="1"/>
  <c r="K42" i="3"/>
  <c r="J42" i="3"/>
  <c r="H42" i="3"/>
  <c r="I42" i="3" s="1"/>
  <c r="E42" i="3"/>
  <c r="F42" i="3" s="1"/>
  <c r="K41" i="3"/>
  <c r="J41" i="3"/>
  <c r="H41" i="3"/>
  <c r="I41" i="3" s="1"/>
  <c r="E41" i="3"/>
  <c r="F41" i="3" s="1"/>
  <c r="K40" i="3"/>
  <c r="J40" i="3"/>
  <c r="H40" i="3"/>
  <c r="I40" i="3" s="1"/>
  <c r="E40" i="3"/>
  <c r="F40" i="3" s="1"/>
  <c r="K39" i="3"/>
  <c r="J39" i="3"/>
  <c r="H39" i="3"/>
  <c r="I39" i="3" s="1"/>
  <c r="E39" i="3"/>
  <c r="F39" i="3" s="1"/>
  <c r="K38" i="3"/>
  <c r="J38" i="3"/>
  <c r="H38" i="3"/>
  <c r="I38" i="3" s="1"/>
  <c r="E38" i="3"/>
  <c r="F38" i="3" s="1"/>
  <c r="K37" i="3"/>
  <c r="J37" i="3"/>
  <c r="H37" i="3"/>
  <c r="I37" i="3" s="1"/>
  <c r="E37" i="3"/>
  <c r="F37" i="3" s="1"/>
  <c r="K36" i="3"/>
  <c r="J36" i="3"/>
  <c r="H36" i="3"/>
  <c r="I36" i="3" s="1"/>
  <c r="E36" i="3"/>
  <c r="F36" i="3" s="1"/>
  <c r="K35" i="3"/>
  <c r="J35" i="3"/>
  <c r="H35" i="3"/>
  <c r="I35" i="3" s="1"/>
  <c r="E35" i="3"/>
  <c r="F35" i="3" s="1"/>
  <c r="K34" i="3"/>
  <c r="J34" i="3"/>
  <c r="H34" i="3"/>
  <c r="I34" i="3" s="1"/>
  <c r="E34" i="3"/>
  <c r="F34" i="3" s="1"/>
  <c r="K33" i="3"/>
  <c r="J33" i="3"/>
  <c r="H33" i="3"/>
  <c r="I33" i="3" s="1"/>
  <c r="E33" i="3"/>
  <c r="F33" i="3" s="1"/>
  <c r="K32" i="3"/>
  <c r="J32" i="3"/>
  <c r="H32" i="3"/>
  <c r="I32" i="3" s="1"/>
  <c r="E32" i="3"/>
  <c r="F32" i="3" s="1"/>
  <c r="K31" i="3"/>
  <c r="J31" i="3"/>
  <c r="H31" i="3"/>
  <c r="I31" i="3" s="1"/>
  <c r="E31" i="3"/>
  <c r="F31" i="3" s="1"/>
  <c r="K30" i="3"/>
  <c r="J30" i="3"/>
  <c r="H30" i="3"/>
  <c r="I30" i="3" s="1"/>
  <c r="E30" i="3"/>
  <c r="F30" i="3" s="1"/>
  <c r="K29" i="3"/>
  <c r="J29" i="3"/>
  <c r="H29" i="3"/>
  <c r="I29" i="3" s="1"/>
  <c r="E29" i="3"/>
  <c r="F29" i="3" s="1"/>
  <c r="K28" i="3"/>
  <c r="J28" i="3"/>
  <c r="H28" i="3"/>
  <c r="I28" i="3" s="1"/>
  <c r="E28" i="3"/>
  <c r="F28" i="3" s="1"/>
  <c r="K27" i="3"/>
  <c r="J27" i="3"/>
  <c r="H27" i="3"/>
  <c r="I27" i="3" s="1"/>
  <c r="E27" i="3"/>
  <c r="F27" i="3" s="1"/>
  <c r="K26" i="3"/>
  <c r="J26" i="3"/>
  <c r="H26" i="3"/>
  <c r="I26" i="3" s="1"/>
  <c r="E26" i="3"/>
  <c r="F26" i="3" s="1"/>
  <c r="K25" i="3"/>
  <c r="J25" i="3"/>
  <c r="H25" i="3"/>
  <c r="I25" i="3" s="1"/>
  <c r="E25" i="3"/>
  <c r="F25" i="3" s="1"/>
  <c r="K24" i="3"/>
  <c r="J24" i="3"/>
  <c r="H24" i="3"/>
  <c r="I24" i="3" s="1"/>
  <c r="E24" i="3"/>
  <c r="F24" i="3" s="1"/>
  <c r="K23" i="3"/>
  <c r="H23" i="3"/>
  <c r="I23" i="3" s="1"/>
  <c r="E23" i="3"/>
  <c r="F23" i="3" s="1"/>
  <c r="K22" i="3"/>
  <c r="H22" i="3"/>
  <c r="I22" i="3" s="1"/>
  <c r="E22" i="3"/>
  <c r="F22" i="3" s="1"/>
  <c r="K21" i="3"/>
  <c r="H21" i="3"/>
  <c r="I21" i="3" s="1"/>
  <c r="E21" i="3"/>
  <c r="F21" i="3" s="1"/>
  <c r="K20" i="3"/>
  <c r="H20" i="3"/>
  <c r="I20" i="3" s="1"/>
  <c r="E20" i="3"/>
  <c r="F20" i="3" s="1"/>
  <c r="K19" i="3"/>
  <c r="H19" i="3"/>
  <c r="I19" i="3" s="1"/>
  <c r="E19" i="3"/>
  <c r="F19" i="3" s="1"/>
  <c r="K18" i="3"/>
  <c r="H18" i="3"/>
  <c r="I18" i="3" s="1"/>
  <c r="E18" i="3"/>
  <c r="F18" i="3" s="1"/>
  <c r="K17" i="3"/>
  <c r="H17" i="3"/>
  <c r="I17" i="3" s="1"/>
  <c r="E17" i="3"/>
  <c r="F17" i="3" s="1"/>
  <c r="K16" i="3"/>
  <c r="H16" i="3"/>
  <c r="I16" i="3" s="1"/>
  <c r="E16" i="3"/>
  <c r="F16" i="3" s="1"/>
  <c r="K15" i="3"/>
  <c r="H15" i="3"/>
  <c r="I15" i="3" s="1"/>
  <c r="E15" i="3"/>
  <c r="F15" i="3" s="1"/>
  <c r="K14" i="3"/>
  <c r="H14" i="3"/>
  <c r="I14" i="3" s="1"/>
  <c r="E14" i="3"/>
  <c r="F14" i="3" s="1"/>
  <c r="K13" i="3"/>
  <c r="H13" i="3"/>
  <c r="I13" i="3" s="1"/>
  <c r="E13" i="3"/>
  <c r="F13" i="3" s="1"/>
  <c r="K12" i="3"/>
  <c r="H12" i="3"/>
  <c r="I12" i="3" s="1"/>
  <c r="E12" i="3"/>
  <c r="F12" i="3" s="1"/>
  <c r="K11" i="3"/>
  <c r="H11" i="3"/>
  <c r="I11" i="3" s="1"/>
  <c r="E11" i="3"/>
  <c r="F11" i="3" s="1"/>
  <c r="K10" i="3"/>
  <c r="H10" i="3"/>
  <c r="I10" i="3" s="1"/>
  <c r="E10" i="3"/>
  <c r="F10" i="3" s="1"/>
  <c r="K9" i="3"/>
  <c r="H9" i="3"/>
  <c r="I9" i="3" s="1"/>
  <c r="E9" i="3"/>
  <c r="F9" i="3" s="1"/>
  <c r="K8" i="3"/>
  <c r="H8" i="3"/>
  <c r="I8" i="3" s="1"/>
  <c r="E8" i="3"/>
  <c r="F8" i="3" s="1"/>
  <c r="K7" i="3"/>
  <c r="H7" i="3"/>
  <c r="I7" i="3" s="1"/>
  <c r="E7" i="3"/>
  <c r="F7" i="3" s="1"/>
  <c r="H5" i="3"/>
  <c r="E5" i="3"/>
  <c r="C5" i="3"/>
  <c r="B5" i="3"/>
  <c r="A5" i="3"/>
  <c r="H2" i="3"/>
  <c r="E2" i="3"/>
  <c r="C2" i="3"/>
  <c r="B2" i="3"/>
  <c r="A2" i="3"/>
  <c r="H6" i="3"/>
  <c r="I6" i="3" s="1"/>
  <c r="E6" i="3"/>
  <c r="F6" i="3" s="1"/>
  <c r="C6" i="3"/>
  <c r="B6" i="3"/>
  <c r="A6" i="3"/>
  <c r="H4" i="3"/>
  <c r="E4" i="3"/>
  <c r="C4" i="3"/>
  <c r="B4" i="3"/>
  <c r="A4" i="3"/>
  <c r="H3" i="3"/>
  <c r="E3" i="3"/>
  <c r="C3" i="3"/>
  <c r="B3" i="3"/>
  <c r="A3" i="3"/>
  <c r="K100" i="2"/>
  <c r="J100" i="2"/>
  <c r="H100" i="2"/>
  <c r="I100" i="2" s="1"/>
  <c r="E100" i="2"/>
  <c r="F100" i="2" s="1"/>
  <c r="K99" i="2"/>
  <c r="J99" i="2"/>
  <c r="H99" i="2"/>
  <c r="I99" i="2" s="1"/>
  <c r="E99" i="2"/>
  <c r="F99" i="2" s="1"/>
  <c r="K98" i="2"/>
  <c r="J98" i="2"/>
  <c r="H98" i="2"/>
  <c r="I98" i="2" s="1"/>
  <c r="E98" i="2"/>
  <c r="F98" i="2" s="1"/>
  <c r="K97" i="2"/>
  <c r="J97" i="2"/>
  <c r="H97" i="2"/>
  <c r="I97" i="2" s="1"/>
  <c r="E97" i="2"/>
  <c r="F97" i="2" s="1"/>
  <c r="K96" i="2"/>
  <c r="J96" i="2"/>
  <c r="H96" i="2"/>
  <c r="I96" i="2" s="1"/>
  <c r="E96" i="2"/>
  <c r="F96" i="2" s="1"/>
  <c r="K95" i="2"/>
  <c r="J95" i="2"/>
  <c r="H95" i="2"/>
  <c r="I95" i="2" s="1"/>
  <c r="E95" i="2"/>
  <c r="F95" i="2" s="1"/>
  <c r="K94" i="2"/>
  <c r="J94" i="2"/>
  <c r="H94" i="2"/>
  <c r="I94" i="2" s="1"/>
  <c r="E94" i="2"/>
  <c r="F94" i="2" s="1"/>
  <c r="K93" i="2"/>
  <c r="J93" i="2"/>
  <c r="H93" i="2"/>
  <c r="I93" i="2" s="1"/>
  <c r="E93" i="2"/>
  <c r="F93" i="2" s="1"/>
  <c r="K92" i="2"/>
  <c r="J92" i="2"/>
  <c r="H92" i="2"/>
  <c r="I92" i="2" s="1"/>
  <c r="E92" i="2"/>
  <c r="F92" i="2" s="1"/>
  <c r="K91" i="2"/>
  <c r="J91" i="2"/>
  <c r="H91" i="2"/>
  <c r="I91" i="2" s="1"/>
  <c r="E91" i="2"/>
  <c r="F91" i="2" s="1"/>
  <c r="K90" i="2"/>
  <c r="J90" i="2"/>
  <c r="H90" i="2"/>
  <c r="I90" i="2" s="1"/>
  <c r="E90" i="2"/>
  <c r="F90" i="2" s="1"/>
  <c r="K89" i="2"/>
  <c r="J89" i="2"/>
  <c r="H89" i="2"/>
  <c r="I89" i="2" s="1"/>
  <c r="E89" i="2"/>
  <c r="F89" i="2" s="1"/>
  <c r="K88" i="2"/>
  <c r="J88" i="2"/>
  <c r="H88" i="2"/>
  <c r="I88" i="2" s="1"/>
  <c r="E88" i="2"/>
  <c r="F88" i="2" s="1"/>
  <c r="K87" i="2"/>
  <c r="J87" i="2"/>
  <c r="H87" i="2"/>
  <c r="I87" i="2" s="1"/>
  <c r="E87" i="2"/>
  <c r="F87" i="2" s="1"/>
  <c r="K86" i="2"/>
  <c r="J86" i="2"/>
  <c r="H86" i="2"/>
  <c r="I86" i="2" s="1"/>
  <c r="E86" i="2"/>
  <c r="F86" i="2" s="1"/>
  <c r="K85" i="2"/>
  <c r="J85" i="2"/>
  <c r="H85" i="2"/>
  <c r="I85" i="2" s="1"/>
  <c r="E85" i="2"/>
  <c r="F85" i="2" s="1"/>
  <c r="K84" i="2"/>
  <c r="J84" i="2"/>
  <c r="H84" i="2"/>
  <c r="I84" i="2" s="1"/>
  <c r="E84" i="2"/>
  <c r="F84" i="2" s="1"/>
  <c r="K83" i="2"/>
  <c r="J83" i="2"/>
  <c r="H83" i="2"/>
  <c r="I83" i="2" s="1"/>
  <c r="E83" i="2"/>
  <c r="F83" i="2" s="1"/>
  <c r="K82" i="2"/>
  <c r="J82" i="2"/>
  <c r="H82" i="2"/>
  <c r="I82" i="2" s="1"/>
  <c r="E82" i="2"/>
  <c r="F82" i="2" s="1"/>
  <c r="K81" i="2"/>
  <c r="J81" i="2"/>
  <c r="H81" i="2"/>
  <c r="I81" i="2" s="1"/>
  <c r="E81" i="2"/>
  <c r="F81" i="2" s="1"/>
  <c r="K80" i="2"/>
  <c r="J80" i="2"/>
  <c r="H80" i="2"/>
  <c r="I80" i="2" s="1"/>
  <c r="E80" i="2"/>
  <c r="F80" i="2" s="1"/>
  <c r="K79" i="2"/>
  <c r="J79" i="2"/>
  <c r="H79" i="2"/>
  <c r="I79" i="2" s="1"/>
  <c r="E79" i="2"/>
  <c r="F79" i="2" s="1"/>
  <c r="K78" i="2"/>
  <c r="J78" i="2"/>
  <c r="H78" i="2"/>
  <c r="I78" i="2" s="1"/>
  <c r="E78" i="2"/>
  <c r="F78" i="2" s="1"/>
  <c r="K77" i="2"/>
  <c r="J77" i="2"/>
  <c r="H77" i="2"/>
  <c r="I77" i="2" s="1"/>
  <c r="E77" i="2"/>
  <c r="F77" i="2" s="1"/>
  <c r="K76" i="2"/>
  <c r="J76" i="2"/>
  <c r="H76" i="2"/>
  <c r="I76" i="2" s="1"/>
  <c r="E76" i="2"/>
  <c r="F76" i="2" s="1"/>
  <c r="K75" i="2"/>
  <c r="J75" i="2"/>
  <c r="H75" i="2"/>
  <c r="I75" i="2" s="1"/>
  <c r="E75" i="2"/>
  <c r="F75" i="2" s="1"/>
  <c r="K74" i="2"/>
  <c r="J74" i="2"/>
  <c r="H74" i="2"/>
  <c r="I74" i="2" s="1"/>
  <c r="E74" i="2"/>
  <c r="F74" i="2" s="1"/>
  <c r="K73" i="2"/>
  <c r="J73" i="2"/>
  <c r="H73" i="2"/>
  <c r="I73" i="2" s="1"/>
  <c r="E73" i="2"/>
  <c r="F73" i="2" s="1"/>
  <c r="K72" i="2"/>
  <c r="J72" i="2"/>
  <c r="H72" i="2"/>
  <c r="I72" i="2" s="1"/>
  <c r="E72" i="2"/>
  <c r="F72" i="2" s="1"/>
  <c r="K71" i="2"/>
  <c r="J71" i="2"/>
  <c r="H71" i="2"/>
  <c r="I71" i="2" s="1"/>
  <c r="E71" i="2"/>
  <c r="F71" i="2" s="1"/>
  <c r="K70" i="2"/>
  <c r="J70" i="2"/>
  <c r="H70" i="2"/>
  <c r="I70" i="2" s="1"/>
  <c r="E70" i="2"/>
  <c r="F70" i="2" s="1"/>
  <c r="K69" i="2"/>
  <c r="J69" i="2"/>
  <c r="H69" i="2"/>
  <c r="I69" i="2" s="1"/>
  <c r="E69" i="2"/>
  <c r="F69" i="2" s="1"/>
  <c r="K68" i="2"/>
  <c r="J68" i="2"/>
  <c r="H68" i="2"/>
  <c r="I68" i="2" s="1"/>
  <c r="E68" i="2"/>
  <c r="F68" i="2" s="1"/>
  <c r="K67" i="2"/>
  <c r="J67" i="2"/>
  <c r="H67" i="2"/>
  <c r="I67" i="2" s="1"/>
  <c r="E67" i="2"/>
  <c r="F67" i="2" s="1"/>
  <c r="K66" i="2"/>
  <c r="J66" i="2"/>
  <c r="H66" i="2"/>
  <c r="I66" i="2" s="1"/>
  <c r="E66" i="2"/>
  <c r="F66" i="2" s="1"/>
  <c r="K65" i="2"/>
  <c r="J65" i="2"/>
  <c r="H65" i="2"/>
  <c r="I65" i="2" s="1"/>
  <c r="E65" i="2"/>
  <c r="F65" i="2" s="1"/>
  <c r="K64" i="2"/>
  <c r="J64" i="2"/>
  <c r="H64" i="2"/>
  <c r="I64" i="2" s="1"/>
  <c r="E64" i="2"/>
  <c r="F64" i="2" s="1"/>
  <c r="K63" i="2"/>
  <c r="J63" i="2"/>
  <c r="H63" i="2"/>
  <c r="I63" i="2" s="1"/>
  <c r="E63" i="2"/>
  <c r="F63" i="2" s="1"/>
  <c r="K62" i="2"/>
  <c r="J62" i="2"/>
  <c r="H62" i="2"/>
  <c r="I62" i="2" s="1"/>
  <c r="E62" i="2"/>
  <c r="F62" i="2" s="1"/>
  <c r="K61" i="2"/>
  <c r="J61" i="2"/>
  <c r="H61" i="2"/>
  <c r="I61" i="2" s="1"/>
  <c r="E61" i="2"/>
  <c r="F61" i="2" s="1"/>
  <c r="K60" i="2"/>
  <c r="J60" i="2"/>
  <c r="H60" i="2"/>
  <c r="I60" i="2" s="1"/>
  <c r="E60" i="2"/>
  <c r="F60" i="2" s="1"/>
  <c r="K59" i="2"/>
  <c r="J59" i="2"/>
  <c r="H59" i="2"/>
  <c r="I59" i="2" s="1"/>
  <c r="E59" i="2"/>
  <c r="F59" i="2" s="1"/>
  <c r="K58" i="2"/>
  <c r="J58" i="2"/>
  <c r="H58" i="2"/>
  <c r="I58" i="2" s="1"/>
  <c r="E58" i="2"/>
  <c r="F58" i="2" s="1"/>
  <c r="K57" i="2"/>
  <c r="J57" i="2"/>
  <c r="H57" i="2"/>
  <c r="I57" i="2" s="1"/>
  <c r="E57" i="2"/>
  <c r="F57" i="2" s="1"/>
  <c r="K56" i="2"/>
  <c r="J56" i="2"/>
  <c r="H56" i="2"/>
  <c r="I56" i="2" s="1"/>
  <c r="E56" i="2"/>
  <c r="F56" i="2" s="1"/>
  <c r="K55" i="2"/>
  <c r="J55" i="2"/>
  <c r="H55" i="2"/>
  <c r="I55" i="2" s="1"/>
  <c r="E55" i="2"/>
  <c r="F55" i="2" s="1"/>
  <c r="K54" i="2"/>
  <c r="J54" i="2"/>
  <c r="H54" i="2"/>
  <c r="I54" i="2" s="1"/>
  <c r="E54" i="2"/>
  <c r="F54" i="2" s="1"/>
  <c r="K53" i="2"/>
  <c r="J53" i="2"/>
  <c r="H53" i="2"/>
  <c r="I53" i="2" s="1"/>
  <c r="E53" i="2"/>
  <c r="F53" i="2" s="1"/>
  <c r="K52" i="2"/>
  <c r="J52" i="2"/>
  <c r="H52" i="2"/>
  <c r="I52" i="2" s="1"/>
  <c r="E52" i="2"/>
  <c r="F52" i="2" s="1"/>
  <c r="K51" i="2"/>
  <c r="J51" i="2"/>
  <c r="H51" i="2"/>
  <c r="I51" i="2" s="1"/>
  <c r="E51" i="2"/>
  <c r="F51" i="2" s="1"/>
  <c r="K50" i="2"/>
  <c r="J50" i="2"/>
  <c r="H50" i="2"/>
  <c r="I50" i="2" s="1"/>
  <c r="E50" i="2"/>
  <c r="F50" i="2" s="1"/>
  <c r="K49" i="2"/>
  <c r="J49" i="2"/>
  <c r="H49" i="2"/>
  <c r="I49" i="2" s="1"/>
  <c r="E49" i="2"/>
  <c r="F49" i="2" s="1"/>
  <c r="K48" i="2"/>
  <c r="J48" i="2"/>
  <c r="H48" i="2"/>
  <c r="I48" i="2" s="1"/>
  <c r="E48" i="2"/>
  <c r="F48" i="2" s="1"/>
  <c r="K47" i="2"/>
  <c r="J47" i="2"/>
  <c r="H47" i="2"/>
  <c r="I47" i="2" s="1"/>
  <c r="E47" i="2"/>
  <c r="F47" i="2" s="1"/>
  <c r="K46" i="2"/>
  <c r="J46" i="2"/>
  <c r="H46" i="2"/>
  <c r="I46" i="2" s="1"/>
  <c r="E46" i="2"/>
  <c r="F46" i="2" s="1"/>
  <c r="K45" i="2"/>
  <c r="J45" i="2"/>
  <c r="H45" i="2"/>
  <c r="I45" i="2" s="1"/>
  <c r="E45" i="2"/>
  <c r="F45" i="2" s="1"/>
  <c r="K44" i="2"/>
  <c r="J44" i="2"/>
  <c r="H44" i="2"/>
  <c r="I44" i="2" s="1"/>
  <c r="E44" i="2"/>
  <c r="F44" i="2" s="1"/>
  <c r="K43" i="2"/>
  <c r="J43" i="2"/>
  <c r="H43" i="2"/>
  <c r="I43" i="2" s="1"/>
  <c r="E43" i="2"/>
  <c r="F43" i="2" s="1"/>
  <c r="K42" i="2"/>
  <c r="J42" i="2"/>
  <c r="H42" i="2"/>
  <c r="I42" i="2" s="1"/>
  <c r="E42" i="2"/>
  <c r="F42" i="2" s="1"/>
  <c r="K41" i="2"/>
  <c r="J41" i="2"/>
  <c r="H41" i="2"/>
  <c r="I41" i="2" s="1"/>
  <c r="E41" i="2"/>
  <c r="F41" i="2" s="1"/>
  <c r="K40" i="2"/>
  <c r="J40" i="2"/>
  <c r="H40" i="2"/>
  <c r="I40" i="2" s="1"/>
  <c r="E40" i="2"/>
  <c r="F40" i="2" s="1"/>
  <c r="K39" i="2"/>
  <c r="J39" i="2"/>
  <c r="H39" i="2"/>
  <c r="I39" i="2" s="1"/>
  <c r="E39" i="2"/>
  <c r="F39" i="2" s="1"/>
  <c r="K38" i="2"/>
  <c r="J38" i="2"/>
  <c r="H38" i="2"/>
  <c r="I38" i="2" s="1"/>
  <c r="E38" i="2"/>
  <c r="F38" i="2" s="1"/>
  <c r="K37" i="2"/>
  <c r="J37" i="2"/>
  <c r="H37" i="2"/>
  <c r="I37" i="2" s="1"/>
  <c r="E37" i="2"/>
  <c r="F37" i="2" s="1"/>
  <c r="K36" i="2"/>
  <c r="J36" i="2"/>
  <c r="H36" i="2"/>
  <c r="I36" i="2" s="1"/>
  <c r="E36" i="2"/>
  <c r="F36" i="2" s="1"/>
  <c r="K35" i="2"/>
  <c r="J35" i="2"/>
  <c r="H35" i="2"/>
  <c r="I35" i="2" s="1"/>
  <c r="E35" i="2"/>
  <c r="F35" i="2" s="1"/>
  <c r="K34" i="2"/>
  <c r="J34" i="2"/>
  <c r="H34" i="2"/>
  <c r="I34" i="2" s="1"/>
  <c r="E34" i="2"/>
  <c r="F34" i="2" s="1"/>
  <c r="K33" i="2"/>
  <c r="J33" i="2"/>
  <c r="H33" i="2"/>
  <c r="I33" i="2" s="1"/>
  <c r="E33" i="2"/>
  <c r="F33" i="2" s="1"/>
  <c r="K32" i="2"/>
  <c r="J32" i="2"/>
  <c r="H32" i="2"/>
  <c r="I32" i="2" s="1"/>
  <c r="E32" i="2"/>
  <c r="F32" i="2" s="1"/>
  <c r="K31" i="2"/>
  <c r="J31" i="2"/>
  <c r="H31" i="2"/>
  <c r="I31" i="2" s="1"/>
  <c r="E31" i="2"/>
  <c r="F31" i="2" s="1"/>
  <c r="K30" i="2"/>
  <c r="J30" i="2"/>
  <c r="H30" i="2"/>
  <c r="I30" i="2" s="1"/>
  <c r="E30" i="2"/>
  <c r="F30" i="2" s="1"/>
  <c r="K29" i="2"/>
  <c r="J29" i="2"/>
  <c r="H29" i="2"/>
  <c r="I29" i="2" s="1"/>
  <c r="E29" i="2"/>
  <c r="F29" i="2" s="1"/>
  <c r="K28" i="2"/>
  <c r="J28" i="2"/>
  <c r="H28" i="2"/>
  <c r="I28" i="2" s="1"/>
  <c r="E28" i="2"/>
  <c r="F28" i="2" s="1"/>
  <c r="K27" i="2"/>
  <c r="J27" i="2"/>
  <c r="H27" i="2"/>
  <c r="I27" i="2" s="1"/>
  <c r="E27" i="2"/>
  <c r="F27" i="2" s="1"/>
  <c r="K26" i="2"/>
  <c r="J26" i="2"/>
  <c r="H26" i="2"/>
  <c r="I26" i="2" s="1"/>
  <c r="E26" i="2"/>
  <c r="F26" i="2" s="1"/>
  <c r="K25" i="2"/>
  <c r="J25" i="2"/>
  <c r="H25" i="2"/>
  <c r="I25" i="2" s="1"/>
  <c r="E25" i="2"/>
  <c r="F25" i="2" s="1"/>
  <c r="H24" i="2"/>
  <c r="I24" i="2" s="1"/>
  <c r="E24" i="2"/>
  <c r="F24" i="2" s="1"/>
  <c r="H23" i="2"/>
  <c r="I23" i="2" s="1"/>
  <c r="E23" i="2"/>
  <c r="F23" i="2" s="1"/>
  <c r="H22" i="2"/>
  <c r="I22" i="2" s="1"/>
  <c r="E22" i="2"/>
  <c r="F22" i="2" s="1"/>
  <c r="H21" i="2"/>
  <c r="I21" i="2" s="1"/>
  <c r="E21" i="2"/>
  <c r="F21" i="2" s="1"/>
  <c r="H20" i="2"/>
  <c r="I20" i="2" s="1"/>
  <c r="E20" i="2"/>
  <c r="F20" i="2" s="1"/>
  <c r="H19" i="2"/>
  <c r="I19" i="2" s="1"/>
  <c r="E19" i="2"/>
  <c r="F19" i="2" s="1"/>
  <c r="H18" i="2"/>
  <c r="I18" i="2" s="1"/>
  <c r="E18" i="2"/>
  <c r="J24" i="2" s="1"/>
  <c r="K24" i="2" s="1"/>
  <c r="H17" i="2"/>
  <c r="I17" i="2" s="1"/>
  <c r="E17" i="2"/>
  <c r="J23" i="2" s="1"/>
  <c r="K23" i="2" s="1"/>
  <c r="K16" i="2"/>
  <c r="H16" i="2"/>
  <c r="I16" i="2" s="1"/>
  <c r="E16" i="2"/>
  <c r="K15" i="2"/>
  <c r="H15" i="2"/>
  <c r="I15" i="2" s="1"/>
  <c r="E15" i="2"/>
  <c r="K21" i="2" s="1"/>
  <c r="K14" i="2"/>
  <c r="H14" i="2"/>
  <c r="I14" i="2" s="1"/>
  <c r="E14" i="2"/>
  <c r="K20" i="2" s="1"/>
  <c r="K13" i="2"/>
  <c r="H13" i="2"/>
  <c r="I13" i="2" s="1"/>
  <c r="E13" i="2"/>
  <c r="K19" i="2" s="1"/>
  <c r="K12" i="2"/>
  <c r="H12" i="2"/>
  <c r="I12" i="2" s="1"/>
  <c r="E12" i="2"/>
  <c r="K18" i="2" s="1"/>
  <c r="K11" i="2"/>
  <c r="H11" i="2"/>
  <c r="I11" i="2" s="1"/>
  <c r="E11" i="2"/>
  <c r="K17" i="2" s="1"/>
  <c r="K10" i="2"/>
  <c r="H10" i="2"/>
  <c r="I10" i="2" s="1"/>
  <c r="E10" i="2"/>
  <c r="F10" i="2" s="1"/>
  <c r="H6" i="2"/>
  <c r="E6" i="2"/>
  <c r="C6" i="2"/>
  <c r="B6" i="2"/>
  <c r="A6" i="2"/>
  <c r="H5" i="2"/>
  <c r="E5" i="2"/>
  <c r="C5" i="2"/>
  <c r="B5" i="2"/>
  <c r="A5" i="2"/>
  <c r="H9" i="2"/>
  <c r="I9" i="2" s="1"/>
  <c r="E9" i="2"/>
  <c r="F9" i="2" s="1"/>
  <c r="C9" i="2"/>
  <c r="B9" i="2"/>
  <c r="A9" i="2"/>
  <c r="H8" i="2"/>
  <c r="I8" i="2" s="1"/>
  <c r="E8" i="2"/>
  <c r="F8" i="2" s="1"/>
  <c r="C8" i="2"/>
  <c r="B8" i="2"/>
  <c r="A8" i="2"/>
  <c r="H4" i="2"/>
  <c r="E4" i="2"/>
  <c r="C4" i="2"/>
  <c r="B4" i="2"/>
  <c r="A4" i="2"/>
  <c r="H2" i="2"/>
  <c r="E2" i="2"/>
  <c r="C2" i="2"/>
  <c r="B2" i="2"/>
  <c r="A2" i="2"/>
  <c r="H7" i="2"/>
  <c r="I7" i="2" s="1"/>
  <c r="E7" i="2"/>
  <c r="F7" i="2" s="1"/>
  <c r="C7" i="2"/>
  <c r="B7" i="2"/>
  <c r="A7" i="2"/>
  <c r="H3" i="2"/>
  <c r="E3" i="2"/>
  <c r="C3" i="2"/>
  <c r="B3" i="2"/>
  <c r="A3" i="2"/>
  <c r="J5" i="23" l="1"/>
  <c r="J3" i="22"/>
  <c r="J5" i="21"/>
  <c r="J5" i="19"/>
  <c r="J3" i="21"/>
  <c r="J4" i="21"/>
  <c r="J11" i="19"/>
  <c r="J13" i="19"/>
  <c r="J9" i="19"/>
  <c r="J6" i="19"/>
  <c r="J12" i="19"/>
  <c r="J8" i="19"/>
  <c r="J10" i="19"/>
  <c r="J4" i="19"/>
  <c r="J3" i="18"/>
  <c r="J7" i="19"/>
  <c r="J14" i="19"/>
  <c r="J6" i="18"/>
  <c r="J13" i="18"/>
  <c r="J10" i="18"/>
  <c r="J4" i="18"/>
  <c r="J9" i="18"/>
  <c r="J12" i="18"/>
  <c r="J11" i="18"/>
  <c r="J5" i="18"/>
  <c r="J7" i="16"/>
  <c r="J7" i="18"/>
  <c r="J8" i="18"/>
  <c r="J9" i="16"/>
  <c r="J3" i="16"/>
  <c r="J12" i="16"/>
  <c r="J6" i="16"/>
  <c r="J10" i="16"/>
  <c r="J5" i="16"/>
  <c r="J15" i="16"/>
  <c r="J11" i="17"/>
  <c r="J14" i="16"/>
  <c r="J8" i="16"/>
  <c r="J11" i="16"/>
  <c r="J4" i="16"/>
  <c r="J8" i="17"/>
  <c r="J16" i="16"/>
  <c r="J13" i="16"/>
  <c r="J4" i="17"/>
  <c r="J9" i="17"/>
  <c r="J7" i="17"/>
  <c r="J10" i="17"/>
  <c r="J12" i="17"/>
  <c r="J3" i="17"/>
  <c r="J5" i="17"/>
  <c r="J6" i="17"/>
  <c r="J13" i="17"/>
  <c r="J11" i="15"/>
  <c r="J12" i="15"/>
  <c r="J10" i="15"/>
  <c r="J5" i="15"/>
  <c r="J7" i="15"/>
  <c r="J8" i="15"/>
  <c r="J6" i="15"/>
  <c r="J9" i="15"/>
  <c r="J13" i="15"/>
  <c r="J4" i="15"/>
  <c r="J3" i="15"/>
  <c r="J3" i="14"/>
  <c r="J4" i="14"/>
  <c r="J5" i="14"/>
  <c r="J3" i="13"/>
  <c r="J5" i="13"/>
  <c r="J6" i="13"/>
  <c r="J4" i="13"/>
  <c r="J3" i="10"/>
  <c r="J7" i="6"/>
  <c r="J8" i="7"/>
  <c r="J11" i="7"/>
  <c r="J3" i="9"/>
  <c r="J10" i="6"/>
  <c r="J4" i="8"/>
  <c r="J3" i="8"/>
  <c r="J13" i="7"/>
  <c r="J10" i="7"/>
  <c r="J8" i="6"/>
  <c r="J14" i="7"/>
  <c r="J9" i="7"/>
  <c r="J12" i="7"/>
  <c r="J7" i="7"/>
  <c r="J11" i="6"/>
  <c r="J3" i="7"/>
  <c r="J4" i="7"/>
  <c r="J5" i="7"/>
  <c r="J9" i="6"/>
  <c r="J6" i="7"/>
  <c r="J6" i="6"/>
  <c r="J12" i="6"/>
  <c r="J3" i="4"/>
  <c r="J11" i="5"/>
  <c r="J15" i="5"/>
  <c r="J3" i="6"/>
  <c r="J5" i="6"/>
  <c r="J4" i="6"/>
  <c r="J8" i="5"/>
  <c r="J5" i="5"/>
  <c r="J7" i="5"/>
  <c r="J6" i="5"/>
  <c r="J3" i="5"/>
  <c r="J9" i="5"/>
  <c r="J14" i="5"/>
  <c r="J4" i="2"/>
  <c r="J13" i="5"/>
  <c r="J12" i="5"/>
  <c r="J17" i="5"/>
  <c r="J10" i="5"/>
  <c r="J4" i="5"/>
  <c r="J16" i="5"/>
  <c r="J5" i="4"/>
  <c r="J6" i="4"/>
  <c r="J5" i="2"/>
  <c r="J4" i="4"/>
  <c r="J7" i="4"/>
  <c r="J4" i="3"/>
  <c r="J3" i="3"/>
  <c r="J3" i="2"/>
  <c r="J5" i="3"/>
  <c r="J6" i="2"/>
  <c r="J2" i="6"/>
  <c r="J2" i="20"/>
  <c r="K2" i="20" s="1"/>
  <c r="J2" i="10"/>
  <c r="J2" i="23"/>
  <c r="J2" i="11"/>
  <c r="K2" i="11" s="1"/>
  <c r="J2" i="3"/>
  <c r="J4" i="12"/>
  <c r="F5" i="21"/>
  <c r="F2" i="14"/>
  <c r="F18" i="2"/>
  <c r="J2" i="13"/>
  <c r="I6" i="5"/>
  <c r="I3" i="22"/>
  <c r="J22" i="2"/>
  <c r="K22" i="2" s="1"/>
  <c r="F16" i="2"/>
  <c r="F3" i="2"/>
  <c r="F2" i="2"/>
  <c r="J2" i="2"/>
  <c r="I5" i="2"/>
  <c r="F14" i="2"/>
  <c r="I5" i="3"/>
  <c r="I2" i="3"/>
  <c r="I3" i="4"/>
  <c r="F7" i="5"/>
  <c r="F5" i="4"/>
  <c r="I4" i="4"/>
  <c r="F5" i="3"/>
  <c r="F3" i="3"/>
  <c r="F7" i="4"/>
  <c r="I13" i="6"/>
  <c r="I4" i="5"/>
  <c r="I17" i="5"/>
  <c r="F5" i="5"/>
  <c r="I6" i="4"/>
  <c r="F12" i="2"/>
  <c r="I5" i="4"/>
  <c r="I10" i="5"/>
  <c r="F17" i="18"/>
  <c r="I4" i="2"/>
  <c r="I6" i="2"/>
  <c r="F4" i="4"/>
  <c r="J2" i="14"/>
  <c r="I11" i="5"/>
  <c r="I4" i="12"/>
  <c r="I2" i="15"/>
  <c r="I9" i="5"/>
  <c r="J2" i="15"/>
  <c r="I7" i="4"/>
  <c r="F5" i="2"/>
  <c r="I12" i="5"/>
  <c r="F15" i="5"/>
  <c r="I5" i="6"/>
  <c r="J5" i="12"/>
  <c r="F10" i="5"/>
  <c r="I3" i="12"/>
  <c r="F3" i="4"/>
  <c r="F17" i="5"/>
  <c r="F2" i="11"/>
  <c r="F2" i="22"/>
  <c r="I10" i="19"/>
  <c r="F3" i="22"/>
  <c r="I3" i="15"/>
  <c r="I6" i="15"/>
  <c r="J2" i="17"/>
  <c r="J2" i="22"/>
  <c r="F4" i="2"/>
  <c r="F6" i="2"/>
  <c r="F11" i="2"/>
  <c r="F13" i="2"/>
  <c r="F15" i="2"/>
  <c r="F17" i="2"/>
  <c r="F4" i="3"/>
  <c r="F2" i="4"/>
  <c r="F6" i="4"/>
  <c r="F2" i="5"/>
  <c r="I18" i="5"/>
  <c r="F9" i="5"/>
  <c r="I5" i="5"/>
  <c r="I2" i="6"/>
  <c r="I4" i="6"/>
  <c r="F8" i="5"/>
  <c r="I15" i="5"/>
  <c r="F7" i="6"/>
  <c r="F5" i="6"/>
  <c r="I2" i="4"/>
  <c r="I2" i="5"/>
  <c r="F12" i="5"/>
  <c r="I7" i="6"/>
  <c r="F8" i="7"/>
  <c r="F25" i="7"/>
  <c r="F13" i="7"/>
  <c r="I6" i="6"/>
  <c r="I4" i="3"/>
  <c r="J2" i="4"/>
  <c r="J2" i="5"/>
  <c r="F4" i="5"/>
  <c r="I8" i="5"/>
  <c r="F14" i="5"/>
  <c r="F3" i="6"/>
  <c r="F2" i="6"/>
  <c r="F6" i="6"/>
  <c r="F9" i="6"/>
  <c r="F3" i="5"/>
  <c r="I14" i="5"/>
  <c r="I10" i="6"/>
  <c r="F12" i="6"/>
  <c r="I3" i="8"/>
  <c r="I9" i="8"/>
  <c r="I3" i="2"/>
  <c r="I2" i="2"/>
  <c r="I3" i="3"/>
  <c r="F11" i="5"/>
  <c r="F16" i="5"/>
  <c r="I3" i="6"/>
  <c r="I9" i="6"/>
  <c r="F2" i="3"/>
  <c r="I3" i="5"/>
  <c r="I16" i="5"/>
  <c r="F13" i="5"/>
  <c r="F8" i="6"/>
  <c r="F10" i="6"/>
  <c r="I8" i="6"/>
  <c r="F4" i="7"/>
  <c r="I11" i="7"/>
  <c r="I6" i="7"/>
  <c r="I7" i="5"/>
  <c r="F6" i="5"/>
  <c r="I13" i="5"/>
  <c r="F11" i="6"/>
  <c r="F2" i="7"/>
  <c r="I7" i="7"/>
  <c r="F4" i="6"/>
  <c r="I11" i="6"/>
  <c r="I12" i="7"/>
  <c r="I2" i="7"/>
  <c r="J2" i="7"/>
  <c r="I12" i="6"/>
  <c r="F11" i="7"/>
  <c r="I8" i="7"/>
  <c r="F5" i="7"/>
  <c r="I2" i="9"/>
  <c r="K6" i="10"/>
  <c r="I5" i="7"/>
  <c r="I3" i="10"/>
  <c r="I13" i="7"/>
  <c r="F10" i="7"/>
  <c r="F9" i="7"/>
  <c r="F14" i="7"/>
  <c r="I9" i="7"/>
  <c r="I10" i="7"/>
  <c r="F3" i="7"/>
  <c r="I14" i="7"/>
  <c r="F2" i="8"/>
  <c r="I3" i="7"/>
  <c r="I2" i="8"/>
  <c r="I4" i="8"/>
  <c r="K14" i="11"/>
  <c r="F7" i="7"/>
  <c r="I3" i="9"/>
  <c r="F12" i="7"/>
  <c r="F6" i="7"/>
  <c r="F4" i="8"/>
  <c r="F5" i="8"/>
  <c r="J2" i="9"/>
  <c r="F3" i="9"/>
  <c r="F2" i="9"/>
  <c r="F2" i="10"/>
  <c r="F3" i="8"/>
  <c r="F2" i="13"/>
  <c r="F5" i="12"/>
  <c r="I49" i="13"/>
  <c r="I4" i="13"/>
  <c r="I5" i="13"/>
  <c r="I6" i="13"/>
  <c r="I3" i="13"/>
  <c r="I4" i="7"/>
  <c r="J2" i="8"/>
  <c r="F3" i="10"/>
  <c r="I5" i="12"/>
  <c r="F3" i="13"/>
  <c r="I5" i="14"/>
  <c r="F5" i="14"/>
  <c r="F9" i="15"/>
  <c r="I2" i="14"/>
  <c r="I7" i="14"/>
  <c r="F8" i="15"/>
  <c r="F13" i="15"/>
  <c r="F4" i="15"/>
  <c r="F10" i="15"/>
  <c r="F12" i="15"/>
  <c r="F3" i="15"/>
  <c r="F11" i="15"/>
  <c r="F6" i="15"/>
  <c r="F6" i="17"/>
  <c r="I2" i="12"/>
  <c r="I12" i="15"/>
  <c r="I51" i="16"/>
  <c r="I4" i="16"/>
  <c r="I10" i="17"/>
  <c r="F4" i="13"/>
  <c r="I2" i="13"/>
  <c r="I15" i="16"/>
  <c r="F6" i="13"/>
  <c r="F5" i="13"/>
  <c r="F3" i="14"/>
  <c r="I14" i="16"/>
  <c r="I2" i="10"/>
  <c r="I2" i="11"/>
  <c r="J2" i="12"/>
  <c r="F2" i="12"/>
  <c r="I13" i="17"/>
  <c r="F3" i="12"/>
  <c r="J3" i="12"/>
  <c r="F4" i="16"/>
  <c r="I9" i="17"/>
  <c r="F20" i="19"/>
  <c r="F12" i="19"/>
  <c r="I9" i="15"/>
  <c r="I7" i="17"/>
  <c r="I11" i="15"/>
  <c r="I16" i="16"/>
  <c r="I12" i="17"/>
  <c r="F12" i="17"/>
  <c r="I10" i="18"/>
  <c r="I7" i="18"/>
  <c r="I8" i="18"/>
  <c r="I11" i="18"/>
  <c r="F4" i="14"/>
  <c r="I8" i="15"/>
  <c r="I7" i="16"/>
  <c r="I13" i="16"/>
  <c r="I17" i="16"/>
  <c r="F2" i="15"/>
  <c r="I2" i="16"/>
  <c r="I12" i="16"/>
  <c r="I11" i="16"/>
  <c r="I2" i="17"/>
  <c r="I4" i="14"/>
  <c r="F7" i="15"/>
  <c r="F3" i="16"/>
  <c r="I5" i="16"/>
  <c r="F4" i="12"/>
  <c r="I3" i="16"/>
  <c r="F2" i="18"/>
  <c r="F3" i="18"/>
  <c r="F12" i="18"/>
  <c r="F9" i="18"/>
  <c r="J2" i="18"/>
  <c r="F10" i="18"/>
  <c r="F5" i="18"/>
  <c r="F6" i="18"/>
  <c r="F13" i="18"/>
  <c r="I7" i="15"/>
  <c r="I6" i="16"/>
  <c r="I4" i="17"/>
  <c r="I14" i="15"/>
  <c r="F5" i="15"/>
  <c r="F9" i="16"/>
  <c r="I10" i="16"/>
  <c r="I8" i="17"/>
  <c r="I2" i="18"/>
  <c r="I3" i="14"/>
  <c r="I9" i="16"/>
  <c r="F15" i="16"/>
  <c r="I5" i="17"/>
  <c r="F8" i="18"/>
  <c r="I3" i="18"/>
  <c r="F7" i="16"/>
  <c r="F2" i="16"/>
  <c r="I6" i="17"/>
  <c r="F11" i="17"/>
  <c r="F12" i="16"/>
  <c r="F10" i="16"/>
  <c r="F5" i="16"/>
  <c r="I11" i="17"/>
  <c r="F5" i="17"/>
  <c r="F9" i="17"/>
  <c r="F14" i="19"/>
  <c r="F6" i="19"/>
  <c r="F10" i="19"/>
  <c r="F13" i="19"/>
  <c r="F7" i="19"/>
  <c r="I5" i="15"/>
  <c r="I10" i="15"/>
  <c r="J2" i="16"/>
  <c r="I12" i="18"/>
  <c r="I2" i="20"/>
  <c r="I4" i="15"/>
  <c r="I13" i="15"/>
  <c r="F16" i="16"/>
  <c r="F14" i="16"/>
  <c r="F3" i="17"/>
  <c r="F4" i="18"/>
  <c r="F6" i="16"/>
  <c r="F11" i="16"/>
  <c r="I3" i="17"/>
  <c r="F8" i="17"/>
  <c r="I8" i="16"/>
  <c r="F13" i="17"/>
  <c r="I9" i="18"/>
  <c r="F14" i="15"/>
  <c r="F4" i="17"/>
  <c r="F11" i="18"/>
  <c r="I5" i="18"/>
  <c r="F9" i="19"/>
  <c r="F8" i="19"/>
  <c r="F5" i="19"/>
  <c r="F3" i="19"/>
  <c r="J3" i="19"/>
  <c r="F11" i="19"/>
  <c r="I3" i="19"/>
  <c r="F2" i="19"/>
  <c r="I7" i="19"/>
  <c r="I13" i="18"/>
  <c r="I6" i="18"/>
  <c r="J2" i="19"/>
  <c r="I2" i="19"/>
  <c r="I4" i="18"/>
  <c r="F3" i="20"/>
  <c r="F2" i="20"/>
  <c r="F2" i="17"/>
  <c r="F10" i="17"/>
  <c r="F7" i="17"/>
  <c r="F7" i="18"/>
  <c r="F4" i="19"/>
  <c r="I17" i="18"/>
  <c r="I11" i="19"/>
  <c r="I13" i="19"/>
  <c r="I8" i="19"/>
  <c r="I14" i="19"/>
  <c r="I5" i="19"/>
  <c r="I6" i="19"/>
  <c r="I12" i="19"/>
  <c r="I4" i="19"/>
  <c r="I9" i="19"/>
  <c r="I4" i="23"/>
  <c r="I3" i="21"/>
  <c r="I2" i="21"/>
  <c r="I5" i="21"/>
  <c r="I4" i="20"/>
  <c r="F7" i="23"/>
  <c r="F2" i="23"/>
  <c r="F4" i="23"/>
  <c r="F3" i="23"/>
  <c r="I7" i="23"/>
  <c r="I2" i="23"/>
  <c r="I2" i="22"/>
  <c r="J2" i="21"/>
  <c r="F3" i="21"/>
  <c r="F2" i="21"/>
  <c r="F4" i="21"/>
  <c r="F4" i="22"/>
  <c r="I4" i="21"/>
  <c r="F6" i="23"/>
  <c r="I6" i="23"/>
  <c r="F5" i="23"/>
  <c r="I5" i="23"/>
  <c r="I3" i="23"/>
  <c r="K2" i="9" l="1"/>
  <c r="K4" i="3"/>
  <c r="K2" i="3"/>
  <c r="K3" i="21"/>
  <c r="K3" i="22"/>
  <c r="K3" i="2"/>
  <c r="K3" i="3"/>
  <c r="K5" i="3"/>
  <c r="K4" i="2"/>
  <c r="K3" i="13"/>
  <c r="K8" i="5"/>
  <c r="K9" i="6"/>
  <c r="K10" i="18"/>
  <c r="K3" i="15"/>
  <c r="K11" i="6"/>
  <c r="K3" i="12"/>
  <c r="K3" i="10"/>
  <c r="K5" i="15"/>
  <c r="K13" i="15"/>
  <c r="K2" i="15"/>
  <c r="K6" i="13"/>
  <c r="K2" i="10"/>
  <c r="K3" i="9"/>
  <c r="K8" i="15"/>
  <c r="K4" i="15"/>
  <c r="K14" i="16"/>
  <c r="K10" i="6"/>
  <c r="K5" i="21"/>
  <c r="K2" i="14"/>
  <c r="K3" i="4"/>
  <c r="K2" i="2"/>
  <c r="K6" i="19"/>
  <c r="K17" i="5"/>
  <c r="K6" i="23"/>
  <c r="K4" i="14"/>
  <c r="K4" i="21"/>
  <c r="K6" i="7"/>
  <c r="K6" i="6"/>
  <c r="K3" i="19"/>
  <c r="K4" i="18"/>
  <c r="K12" i="15"/>
  <c r="K2" i="8"/>
  <c r="K8" i="7"/>
  <c r="K4" i="4"/>
  <c r="K5" i="2"/>
  <c r="K5" i="13"/>
  <c r="K9" i="15"/>
  <c r="K3" i="7"/>
  <c r="K9" i="19"/>
  <c r="K7" i="17"/>
  <c r="K5" i="17"/>
  <c r="K2" i="13"/>
  <c r="K8" i="6"/>
  <c r="K3" i="6"/>
  <c r="K7" i="6"/>
  <c r="K7" i="4"/>
  <c r="K13" i="5"/>
  <c r="K7" i="16"/>
  <c r="K10" i="19"/>
  <c r="K12" i="19"/>
  <c r="K8" i="19"/>
  <c r="K9" i="18"/>
  <c r="K11" i="19"/>
  <c r="K9" i="16"/>
  <c r="K13" i="18"/>
  <c r="K6" i="15"/>
  <c r="K7" i="7"/>
  <c r="K5" i="7"/>
  <c r="K2" i="6"/>
  <c r="K14" i="5"/>
  <c r="K13" i="19"/>
  <c r="K2" i="19"/>
  <c r="K3" i="17"/>
  <c r="K7" i="18"/>
  <c r="K8" i="18"/>
  <c r="K11" i="16"/>
  <c r="K9" i="7"/>
  <c r="K16" i="5"/>
  <c r="K11" i="5"/>
  <c r="K7" i="23"/>
  <c r="K5" i="19"/>
  <c r="K13" i="17"/>
  <c r="K12" i="17"/>
  <c r="K4" i="16"/>
  <c r="K13" i="16"/>
  <c r="K7" i="5"/>
  <c r="K6" i="4"/>
  <c r="K3" i="23"/>
  <c r="K4" i="19"/>
  <c r="K15" i="16"/>
  <c r="K2" i="18"/>
  <c r="K5" i="18"/>
  <c r="K5" i="6"/>
  <c r="K12" i="5"/>
  <c r="K6" i="2"/>
  <c r="K6" i="17"/>
  <c r="K2" i="17"/>
  <c r="K2" i="21"/>
  <c r="K8" i="17"/>
  <c r="K12" i="18"/>
  <c r="K3" i="16"/>
  <c r="K11" i="15"/>
  <c r="K3" i="14"/>
  <c r="K3" i="8"/>
  <c r="K10" i="7"/>
  <c r="K4" i="7"/>
  <c r="K5" i="5"/>
  <c r="K6" i="16"/>
  <c r="K2" i="23"/>
  <c r="K16" i="16"/>
  <c r="K9" i="17"/>
  <c r="K5" i="16"/>
  <c r="K5" i="23"/>
  <c r="K4" i="23"/>
  <c r="K7" i="19"/>
  <c r="K11" i="18"/>
  <c r="K3" i="18"/>
  <c r="K8" i="16"/>
  <c r="K12" i="16"/>
  <c r="K7" i="15"/>
  <c r="K4" i="13"/>
  <c r="K14" i="7"/>
  <c r="K2" i="7"/>
  <c r="K13" i="7"/>
  <c r="K15" i="5"/>
  <c r="K6" i="18"/>
  <c r="K10" i="15"/>
  <c r="K3" i="5"/>
  <c r="K2" i="5"/>
  <c r="K6" i="5"/>
  <c r="K11" i="17"/>
  <c r="K10" i="16"/>
  <c r="K11" i="7"/>
  <c r="K4" i="8"/>
  <c r="K5" i="4"/>
  <c r="K2" i="4"/>
  <c r="K10" i="5"/>
  <c r="K12" i="6"/>
  <c r="K4" i="6"/>
  <c r="K2" i="22"/>
  <c r="K4" i="17"/>
  <c r="K2" i="16"/>
  <c r="K14" i="19"/>
  <c r="K10" i="17"/>
  <c r="K12" i="7"/>
  <c r="K9" i="5"/>
  <c r="K4" i="5"/>
</calcChain>
</file>

<file path=xl/sharedStrings.xml><?xml version="1.0" encoding="utf-8"?>
<sst xmlns="http://schemas.openxmlformats.org/spreadsheetml/2006/main" count="864" uniqueCount="448">
  <si>
    <t>No</t>
  </si>
  <si>
    <t>Class</t>
  </si>
  <si>
    <t>3F</t>
  </si>
  <si>
    <t>Mylnhurst Preparatory School</t>
  </si>
  <si>
    <t>3M</t>
  </si>
  <si>
    <t>4F</t>
  </si>
  <si>
    <t>HARPER BROWNRIGG</t>
  </si>
  <si>
    <t>4M</t>
  </si>
  <si>
    <t>5F</t>
  </si>
  <si>
    <t>5M</t>
  </si>
  <si>
    <t>6F</t>
  </si>
  <si>
    <t>6M</t>
  </si>
  <si>
    <t>7F</t>
  </si>
  <si>
    <t>7M</t>
  </si>
  <si>
    <t>8F</t>
  </si>
  <si>
    <t>8M</t>
  </si>
  <si>
    <t>9F</t>
  </si>
  <si>
    <t>9M</t>
  </si>
  <si>
    <t>10F</t>
  </si>
  <si>
    <t>10M</t>
  </si>
  <si>
    <t>11F</t>
  </si>
  <si>
    <t>11M</t>
  </si>
  <si>
    <t>12&amp;13F</t>
  </si>
  <si>
    <t>12&amp;13M</t>
  </si>
  <si>
    <t>TeachersF</t>
  </si>
  <si>
    <t>TeachersM</t>
  </si>
  <si>
    <t>Name</t>
  </si>
  <si>
    <t>Club</t>
  </si>
  <si>
    <t>Swim Time</t>
  </si>
  <si>
    <t>Swim Points</t>
  </si>
  <si>
    <t>Swim Pos</t>
  </si>
  <si>
    <t>Run Time</t>
  </si>
  <si>
    <t>Run Points</t>
  </si>
  <si>
    <t>Run Pos</t>
  </si>
  <si>
    <t>Total</t>
  </si>
  <si>
    <t>Pos</t>
  </si>
  <si>
    <t>0:27.77</t>
  </si>
  <si>
    <t>01:47.94</t>
  </si>
  <si>
    <t>Swim time</t>
  </si>
  <si>
    <t>Swim points</t>
  </si>
  <si>
    <t>0:29.58</t>
  </si>
  <si>
    <t>01:34.6</t>
  </si>
  <si>
    <t>0:40.50</t>
  </si>
  <si>
    <t>01:38.25</t>
  </si>
  <si>
    <t>0:34.95</t>
  </si>
  <si>
    <t>01:45.17</t>
  </si>
  <si>
    <t>0:37.72</t>
  </si>
  <si>
    <t>01:58.00</t>
  </si>
  <si>
    <t>0:19.58</t>
  </si>
  <si>
    <t>01:34.12</t>
  </si>
  <si>
    <t>0:22.01</t>
  </si>
  <si>
    <t>01:32.02</t>
  </si>
  <si>
    <t>0:20.17</t>
  </si>
  <si>
    <t>01:19.79</t>
  </si>
  <si>
    <t>0:22.33</t>
  </si>
  <si>
    <t>01:40.31</t>
  </si>
  <si>
    <t>0:36.80</t>
  </si>
  <si>
    <t>03:31.28</t>
  </si>
  <si>
    <t>0:58.50</t>
  </si>
  <si>
    <t>04:27.27</t>
  </si>
  <si>
    <t>0:49.61</t>
  </si>
  <si>
    <t>03:13.97</t>
  </si>
  <si>
    <t>0:51.33</t>
  </si>
  <si>
    <t>03:46.93</t>
  </si>
  <si>
    <t>1:19.32</t>
  </si>
  <si>
    <t>03:09.62</t>
  </si>
  <si>
    <t>0:57.94</t>
  </si>
  <si>
    <t>03:21.20</t>
  </si>
  <si>
    <t>0:37.07</t>
  </si>
  <si>
    <t>02:50.63</t>
  </si>
  <si>
    <t>0:35.82</t>
  </si>
  <si>
    <t>02:49.04</t>
  </si>
  <si>
    <t>0:44.95</t>
  </si>
  <si>
    <t>03:08.09</t>
  </si>
  <si>
    <t>0:38.74</t>
  </si>
  <si>
    <t>03:24.06</t>
  </si>
  <si>
    <t>0:45.62</t>
  </si>
  <si>
    <t>03:19.62</t>
  </si>
  <si>
    <t>0:36.67</t>
  </si>
  <si>
    <t>03:11.32</t>
  </si>
  <si>
    <t>0:35.09</t>
  </si>
  <si>
    <t>03:05.65</t>
  </si>
  <si>
    <t>0:45.63</t>
  </si>
  <si>
    <t>03:02.80</t>
  </si>
  <si>
    <t>0:37.42</t>
  </si>
  <si>
    <t>03:03.81</t>
  </si>
  <si>
    <t>0:44.56</t>
  </si>
  <si>
    <t>04:17.71</t>
  </si>
  <si>
    <t>0:48.32</t>
  </si>
  <si>
    <t>02:56.68</t>
  </si>
  <si>
    <t>0:46.14</t>
  </si>
  <si>
    <t>02:44.05</t>
  </si>
  <si>
    <t>0:50.42</t>
  </si>
  <si>
    <t>03:16.41</t>
  </si>
  <si>
    <t>0:51.74</t>
  </si>
  <si>
    <t>03:30.57</t>
  </si>
  <si>
    <t>01:02.82</t>
  </si>
  <si>
    <t>03:20.04</t>
  </si>
  <si>
    <t>01:25.16</t>
  </si>
  <si>
    <t>04:15.05</t>
  </si>
  <si>
    <t>0:34.30</t>
  </si>
  <si>
    <t>02:46.47</t>
  </si>
  <si>
    <t>0:29.74</t>
  </si>
  <si>
    <t>02:40.18</t>
  </si>
  <si>
    <t>0:33.11</t>
  </si>
  <si>
    <t>03:14.21</t>
  </si>
  <si>
    <t>0:34.69</t>
  </si>
  <si>
    <t>03:09.41</t>
  </si>
  <si>
    <t>03:43.36</t>
  </si>
  <si>
    <t>0:38.35</t>
  </si>
  <si>
    <t>03:07.19</t>
  </si>
  <si>
    <t>0:33.39</t>
  </si>
  <si>
    <t>03:02.60</t>
  </si>
  <si>
    <t>01:01.47</t>
  </si>
  <si>
    <t>02:56.25</t>
  </si>
  <si>
    <t>0:34.68</t>
  </si>
  <si>
    <t>02:49.39</t>
  </si>
  <si>
    <t>0:47.63</t>
  </si>
  <si>
    <t>02:57.55</t>
  </si>
  <si>
    <t>0:37.10</t>
  </si>
  <si>
    <t>02:52.97</t>
  </si>
  <si>
    <t>0:58.14</t>
  </si>
  <si>
    <t>03:00.84</t>
  </si>
  <si>
    <t>01:03.72</t>
  </si>
  <si>
    <t>05:42.64</t>
  </si>
  <si>
    <t>01:10.46</t>
  </si>
  <si>
    <t>05:36.91</t>
  </si>
  <si>
    <t>01:13.57</t>
  </si>
  <si>
    <t>05:29.12</t>
  </si>
  <si>
    <t>01:50.73</t>
  </si>
  <si>
    <t>05:24.41</t>
  </si>
  <si>
    <t>01:39.95</t>
  </si>
  <si>
    <t>07:02.05</t>
  </si>
  <si>
    <t>01:25.18</t>
  </si>
  <si>
    <t>05:54.72</t>
  </si>
  <si>
    <t>01:26.07</t>
  </si>
  <si>
    <t>07:18.43</t>
  </si>
  <si>
    <t>01:14.89</t>
  </si>
  <si>
    <t>05:31.12</t>
  </si>
  <si>
    <t>01:18.52</t>
  </si>
  <si>
    <t>06:18.95</t>
  </si>
  <si>
    <t>01:18.05</t>
  </si>
  <si>
    <t>06:25.15</t>
  </si>
  <si>
    <t>01:39.42</t>
  </si>
  <si>
    <t>06:02.24</t>
  </si>
  <si>
    <t>01:12.33</t>
  </si>
  <si>
    <t>07:08.41</t>
  </si>
  <si>
    <t>01:07.50</t>
  </si>
  <si>
    <t>06:24.60</t>
  </si>
  <si>
    <t>01:00.23</t>
  </si>
  <si>
    <t>05:06.34</t>
  </si>
  <si>
    <t>01:06.70</t>
  </si>
  <si>
    <t>05:03.22</t>
  </si>
  <si>
    <t>01:34.33</t>
  </si>
  <si>
    <t>06:02.90</t>
  </si>
  <si>
    <t>03:00.24</t>
  </si>
  <si>
    <t>05:49.34</t>
  </si>
  <si>
    <t>02:26.00</t>
  </si>
  <si>
    <t>05:06.52</t>
  </si>
  <si>
    <t>02:23.38</t>
  </si>
  <si>
    <t>05:46.71</t>
  </si>
  <si>
    <t>02:35.22</t>
  </si>
  <si>
    <t>05:15.58</t>
  </si>
  <si>
    <t>02:13.05</t>
  </si>
  <si>
    <t>04:58.09</t>
  </si>
  <si>
    <t>0:28.63</t>
  </si>
  <si>
    <t>02:21.71</t>
  </si>
  <si>
    <t>0:27.11</t>
  </si>
  <si>
    <t>02:24.92</t>
  </si>
  <si>
    <t>0:34.17</t>
  </si>
  <si>
    <t>02:53.23</t>
  </si>
  <si>
    <t>0:34.49</t>
  </si>
  <si>
    <t>02:55.35</t>
  </si>
  <si>
    <t>0:38.03</t>
  </si>
  <si>
    <t>01:56.21</t>
  </si>
  <si>
    <t>0:30.20</t>
  </si>
  <si>
    <t>01:35.08</t>
  </si>
  <si>
    <t>0:23.22</t>
  </si>
  <si>
    <t>01:43.53</t>
  </si>
  <si>
    <t>0:23.94</t>
  </si>
  <si>
    <t>01:35.07</t>
  </si>
  <si>
    <t>0:33.28</t>
  </si>
  <si>
    <t>01:41.84</t>
  </si>
  <si>
    <t>0:19.49</t>
  </si>
  <si>
    <t>01:30.22</t>
  </si>
  <si>
    <t>0:21.25</t>
  </si>
  <si>
    <t>01:36.74</t>
  </si>
  <si>
    <t>0:31.06</t>
  </si>
  <si>
    <t>01:44.25</t>
  </si>
  <si>
    <t>0:20.99</t>
  </si>
  <si>
    <t>01:40.81</t>
  </si>
  <si>
    <t>0:47.01</t>
  </si>
  <si>
    <t>03:54.51</t>
  </si>
  <si>
    <t>0:41.51</t>
  </si>
  <si>
    <t>02:59.32</t>
  </si>
  <si>
    <t>0:49.74</t>
  </si>
  <si>
    <t>03:48.68</t>
  </si>
  <si>
    <t>0:44.96</t>
  </si>
  <si>
    <t>03:13.38</t>
  </si>
  <si>
    <t>0:56.85</t>
  </si>
  <si>
    <t>03:51.91</t>
  </si>
  <si>
    <t>0:52.57</t>
  </si>
  <si>
    <t>03:19.23</t>
  </si>
  <si>
    <t>0:41.08</t>
  </si>
  <si>
    <t>03:21.63</t>
  </si>
  <si>
    <t>0:37.16</t>
  </si>
  <si>
    <t>03:11.51</t>
  </si>
  <si>
    <t>0:49.51</t>
  </si>
  <si>
    <t>04:26.53</t>
  </si>
  <si>
    <t>1:15.57</t>
  </si>
  <si>
    <t>04:15.59</t>
  </si>
  <si>
    <t>0:40.40</t>
  </si>
  <si>
    <t>03:31.90</t>
  </si>
  <si>
    <t>0:49.98</t>
  </si>
  <si>
    <t>03:23.26</t>
  </si>
  <si>
    <t>0:44.50</t>
  </si>
  <si>
    <t>02:59.00</t>
  </si>
  <si>
    <t>0:41.88</t>
  </si>
  <si>
    <t>03:24.97</t>
  </si>
  <si>
    <t>0:36.81</t>
  </si>
  <si>
    <t>03:25.72</t>
  </si>
  <si>
    <t>0:32.94</t>
  </si>
  <si>
    <t>03:23.93</t>
  </si>
  <si>
    <t>0:49.18</t>
  </si>
  <si>
    <t>03:33.90</t>
  </si>
  <si>
    <t>0:42.22</t>
  </si>
  <si>
    <t>03:06.72</t>
  </si>
  <si>
    <t>0:33.14</t>
  </si>
  <si>
    <t>03:07.30</t>
  </si>
  <si>
    <t>0:41.52</t>
  </si>
  <si>
    <t>03:00.74</t>
  </si>
  <si>
    <t>0:34.51</t>
  </si>
  <si>
    <t>03:16.62</t>
  </si>
  <si>
    <t>0:33.98</t>
  </si>
  <si>
    <t>02:54.49</t>
  </si>
  <si>
    <t>0:44.22</t>
  </si>
  <si>
    <t>03:31.81</t>
  </si>
  <si>
    <t>0:33.27</t>
  </si>
  <si>
    <t>0:50.00</t>
  </si>
  <si>
    <t>03:22.30</t>
  </si>
  <si>
    <t>03:21.02</t>
  </si>
  <si>
    <t>0:30.14</t>
  </si>
  <si>
    <t>02:52.21</t>
  </si>
  <si>
    <t>0:35.85</t>
  </si>
  <si>
    <t>02:59.53</t>
  </si>
  <si>
    <t>0:34.94</t>
  </si>
  <si>
    <t>02:52.91</t>
  </si>
  <si>
    <t>0:41.78</t>
  </si>
  <si>
    <t>03:27.35</t>
  </si>
  <si>
    <t>0:43.11</t>
  </si>
  <si>
    <t>04:08.01</t>
  </si>
  <si>
    <t>0:41.12</t>
  </si>
  <si>
    <t>02:45.91</t>
  </si>
  <si>
    <t>0:32.98</t>
  </si>
  <si>
    <t>02:57.86</t>
  </si>
  <si>
    <t>0:38.28</t>
  </si>
  <si>
    <t>03:38.41</t>
  </si>
  <si>
    <t>0:40.89</t>
  </si>
  <si>
    <t>03:14.67</t>
  </si>
  <si>
    <t>0:41.35</t>
  </si>
  <si>
    <t>03:26.05</t>
  </si>
  <si>
    <t>0:35.23</t>
  </si>
  <si>
    <t>02:55.32</t>
  </si>
  <si>
    <t>0:37.17</t>
  </si>
  <si>
    <t>03:24.03</t>
  </si>
  <si>
    <t>0:35.19</t>
  </si>
  <si>
    <t>03:16.13</t>
  </si>
  <si>
    <t>01:06.91</t>
  </si>
  <si>
    <t>05:43.38</t>
  </si>
  <si>
    <t>01:11.53</t>
  </si>
  <si>
    <t>06:27.34</t>
  </si>
  <si>
    <t>01:22.65</t>
  </si>
  <si>
    <t>08:36.29</t>
  </si>
  <si>
    <t>01:33.14</t>
  </si>
  <si>
    <t>07:52.26</t>
  </si>
  <si>
    <t>01:12.51</t>
  </si>
  <si>
    <t>07:28.60</t>
  </si>
  <si>
    <t>01:24.71</t>
  </si>
  <si>
    <t>07:53.46</t>
  </si>
  <si>
    <t>01:21.42</t>
  </si>
  <si>
    <t>05:42.41</t>
  </si>
  <si>
    <t>01:10.02</t>
  </si>
  <si>
    <t>06:17.48</t>
  </si>
  <si>
    <t>01:10.97</t>
  </si>
  <si>
    <t>05:40.62</t>
  </si>
  <si>
    <t>01:06.17</t>
  </si>
  <si>
    <t>06:31.41</t>
  </si>
  <si>
    <t>01:13.52</t>
  </si>
  <si>
    <t>07:06.98</t>
  </si>
  <si>
    <t>01:20.26</t>
  </si>
  <si>
    <t>07:21.41</t>
  </si>
  <si>
    <t>08:15.16</t>
  </si>
  <si>
    <t>01:21.04</t>
  </si>
  <si>
    <t>06:09.40</t>
  </si>
  <si>
    <t>01:07.37</t>
  </si>
  <si>
    <t>06:29.07</t>
  </si>
  <si>
    <t>01:33.53</t>
  </si>
  <si>
    <t>07:09.03</t>
  </si>
  <si>
    <t>06:34.58</t>
  </si>
  <si>
    <t>01:22.25</t>
  </si>
  <si>
    <t>05:34.08</t>
  </si>
  <si>
    <t>01:20.82</t>
  </si>
  <si>
    <t>05:34.99</t>
  </si>
  <si>
    <t>01:05.94</t>
  </si>
  <si>
    <t>07:16.30</t>
  </si>
  <si>
    <t>01:09.03</t>
  </si>
  <si>
    <t>06:55.91</t>
  </si>
  <si>
    <t>01:10.98</t>
  </si>
  <si>
    <t>06:44.43</t>
  </si>
  <si>
    <t>01:42.74</t>
  </si>
  <si>
    <t>07:21.90</t>
  </si>
  <si>
    <t>01:36.55</t>
  </si>
  <si>
    <t>08:11.77</t>
  </si>
  <si>
    <t>01:15.00</t>
  </si>
  <si>
    <t>07:30.91</t>
  </si>
  <si>
    <t>01:26.32</t>
  </si>
  <si>
    <t>06:50.51</t>
  </si>
  <si>
    <t>02:35.34</t>
  </si>
  <si>
    <t>07:43.43</t>
  </si>
  <si>
    <t>02:23.30</t>
  </si>
  <si>
    <t>05:32.13</t>
  </si>
  <si>
    <t>02:34.00</t>
  </si>
  <si>
    <t>07:47.66</t>
  </si>
  <si>
    <t>02:33.13</t>
  </si>
  <si>
    <t>05:34.87</t>
  </si>
  <si>
    <t>02:20.77</t>
  </si>
  <si>
    <t>05:52.93</t>
  </si>
  <si>
    <t>02:36.55</t>
  </si>
  <si>
    <t>05:55.39</t>
  </si>
  <si>
    <t>02:30.12</t>
  </si>
  <si>
    <t>05:48.26</t>
  </si>
  <si>
    <t>0:37.94</t>
  </si>
  <si>
    <t>02:38.83</t>
  </si>
  <si>
    <t>01:16.91</t>
  </si>
  <si>
    <t>05:36.04</t>
  </si>
  <si>
    <t>0:30.00</t>
  </si>
  <si>
    <t>02:56.37</t>
  </si>
  <si>
    <t>0:46.20</t>
  </si>
  <si>
    <t>03:46.02</t>
  </si>
  <si>
    <t>0:33.87</t>
  </si>
  <si>
    <t>02:43.84</t>
  </si>
  <si>
    <t>0:44.87</t>
  </si>
  <si>
    <t>02:51.46</t>
  </si>
  <si>
    <t>r dist</t>
  </si>
  <si>
    <t>r min</t>
  </si>
  <si>
    <t>r secs</t>
  </si>
  <si>
    <t>r t secs</t>
  </si>
  <si>
    <t>r points</t>
  </si>
  <si>
    <t>s dist</t>
  </si>
  <si>
    <t>s mins</t>
  </si>
  <si>
    <t>s secs</t>
  </si>
  <si>
    <t>s t secs</t>
  </si>
  <si>
    <t>s points</t>
  </si>
  <si>
    <t>ind male</t>
  </si>
  <si>
    <t>JuniorM</t>
  </si>
  <si>
    <t>SeniorM</t>
  </si>
  <si>
    <t>MastersM</t>
  </si>
  <si>
    <t>ind female</t>
  </si>
  <si>
    <t>JuniorF</t>
  </si>
  <si>
    <t>SeniorF</t>
  </si>
  <si>
    <t>MastersF</t>
  </si>
  <si>
    <t>3RM</t>
  </si>
  <si>
    <t>2x400</t>
  </si>
  <si>
    <t>2x25</t>
  </si>
  <si>
    <t>team male</t>
  </si>
  <si>
    <t>4RM</t>
  </si>
  <si>
    <t>5RM</t>
  </si>
  <si>
    <t>6RM</t>
  </si>
  <si>
    <t>2x50</t>
  </si>
  <si>
    <t>7RM</t>
  </si>
  <si>
    <t>2x800</t>
  </si>
  <si>
    <t>8RM</t>
  </si>
  <si>
    <t>2x100</t>
  </si>
  <si>
    <t>9RM</t>
  </si>
  <si>
    <t>10RM</t>
  </si>
  <si>
    <t>11RM</t>
  </si>
  <si>
    <t>12&amp;13RM</t>
  </si>
  <si>
    <t>JuniorRM</t>
  </si>
  <si>
    <t>SeniorRM</t>
  </si>
  <si>
    <t>TeachersRM</t>
  </si>
  <si>
    <t>MastersRM</t>
  </si>
  <si>
    <t>3RF</t>
  </si>
  <si>
    <t>team female</t>
  </si>
  <si>
    <t>4RF</t>
  </si>
  <si>
    <t>5RF</t>
  </si>
  <si>
    <t>6RF</t>
  </si>
  <si>
    <t>7RF</t>
  </si>
  <si>
    <t>8RF</t>
  </si>
  <si>
    <t>9RF</t>
  </si>
  <si>
    <t>10RF</t>
  </si>
  <si>
    <t>11RF</t>
  </si>
  <si>
    <t>12&amp;13RF</t>
  </si>
  <si>
    <t>JuniorRF</t>
  </si>
  <si>
    <t>SeniorRF</t>
  </si>
  <si>
    <t>TeachersRF</t>
  </si>
  <si>
    <t>MastersRF</t>
  </si>
  <si>
    <t>AGE</t>
  </si>
  <si>
    <t>MEN</t>
  </si>
  <si>
    <t>WOMEN</t>
  </si>
  <si>
    <t>age adjust</t>
  </si>
  <si>
    <t>Year 3 Boys</t>
  </si>
  <si>
    <t>index</t>
  </si>
  <si>
    <t>Score 4M</t>
  </si>
  <si>
    <t>Year 4 Boys</t>
  </si>
  <si>
    <t>Score 5M</t>
  </si>
  <si>
    <t>Year 5 Boys</t>
  </si>
  <si>
    <t>Score 6M</t>
  </si>
  <si>
    <t>Year 6 Boys</t>
  </si>
  <si>
    <t>Score 7M</t>
  </si>
  <si>
    <t>Year 7 Boys</t>
  </si>
  <si>
    <t>Score 8M</t>
  </si>
  <si>
    <t>Year 8 Boys</t>
  </si>
  <si>
    <t>Score 9M</t>
  </si>
  <si>
    <t>Year 9 Boys</t>
  </si>
  <si>
    <t>Score 10M</t>
  </si>
  <si>
    <t>Year 10 Boys</t>
  </si>
  <si>
    <t>Score 11M</t>
  </si>
  <si>
    <t>Year 11 Boys</t>
  </si>
  <si>
    <t>Score 12&amp;13M</t>
  </si>
  <si>
    <t>Year 12 and 13 Boys</t>
  </si>
  <si>
    <t>Score TeachersM</t>
  </si>
  <si>
    <t>Teachers Male</t>
  </si>
  <si>
    <t>Score 3F</t>
  </si>
  <si>
    <t>Year 3 Girls</t>
  </si>
  <si>
    <t>Score 4F</t>
  </si>
  <si>
    <t>Year 4 Girls</t>
  </si>
  <si>
    <t>Score 5F</t>
  </si>
  <si>
    <t>Year 5 Girls</t>
  </si>
  <si>
    <t>Score 6F</t>
  </si>
  <si>
    <t>Year 6 Girls</t>
  </si>
  <si>
    <t>Score 7F</t>
  </si>
  <si>
    <t>Year 7 Girls</t>
  </si>
  <si>
    <t>Score 8F</t>
  </si>
  <si>
    <t>Year 8 Girls</t>
  </si>
  <si>
    <t>Score 9F</t>
  </si>
  <si>
    <t>Year 9 Girls</t>
  </si>
  <si>
    <t>Score 11F</t>
  </si>
  <si>
    <t>Year 10 Girls</t>
  </si>
  <si>
    <t>Score 10F</t>
  </si>
  <si>
    <t>Year 11 Girls</t>
  </si>
  <si>
    <t>Score 12&amp;13F</t>
  </si>
  <si>
    <t>Year 12 and 13 Girls</t>
  </si>
  <si>
    <t>Score TeachersF</t>
  </si>
  <si>
    <t>Teachers Female</t>
  </si>
  <si>
    <t>DNS</t>
  </si>
  <si>
    <t xml:space="preserve">Open Men </t>
  </si>
  <si>
    <t>n/a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</si>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</sst>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&quot;:&quot;mm&quot;:&quot;ss"/>
  </numFmts>
  <fonts count="22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242424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Inconsolata"/>
    </font>
    <font>
      <b/>
      <sz val="11"/>
      <color rgb="FF000000"/>
      <name val="Calibri"/>
      <family val="2"/>
    </font>
    <font>
      <b/>
      <sz val="11"/>
      <color rgb="FF000000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8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4" fillId="0" borderId="0"/>
  </cellStyleXfs>
  <cellXfs count="34">
    <xf numFmtId="0" fontId="0" fillId="0" borderId="0" xfId="0"/>
    <xf numFmtId="0" fontId="14" fillId="0" borderId="0" xfId="0" applyFont="1" applyAlignment="1"/>
    <xf numFmtId="0" fontId="15" fillId="0" borderId="0" xfId="0" applyFont="1" applyAlignment="1">
      <alignment horizontal="right"/>
    </xf>
    <xf numFmtId="0" fontId="15" fillId="0" borderId="0" xfId="0" applyFont="1" applyAlignme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Font="1" applyAlignment="1"/>
    <xf numFmtId="0" fontId="16" fillId="9" borderId="0" xfId="0" applyFont="1" applyFill="1" applyAlignment="1">
      <alignment horizontal="center" wrapText="1"/>
    </xf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10" borderId="0" xfId="0" applyFont="1" applyFill="1"/>
    <xf numFmtId="0" fontId="0" fillId="11" borderId="0" xfId="0" applyFont="1" applyFill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5" fillId="0" borderId="0" xfId="0" applyFont="1" applyAlignment="1">
      <alignment horizontal="center"/>
    </xf>
    <xf numFmtId="164" fontId="0" fillId="0" borderId="0" xfId="0" applyNumberFormat="1" applyFont="1" applyAlignment="1"/>
    <xf numFmtId="0" fontId="0" fillId="0" borderId="0" xfId="0" applyFont="1"/>
    <xf numFmtId="0" fontId="19" fillId="11" borderId="0" xfId="0" applyFont="1" applyFill="1"/>
    <xf numFmtId="0" fontId="20" fillId="9" borderId="0" xfId="0" applyFont="1" applyFill="1" applyAlignment="1">
      <alignment horizontal="center"/>
    </xf>
    <xf numFmtId="0" fontId="20" fillId="9" borderId="0" xfId="0" applyFont="1" applyFill="1" applyAlignment="1">
      <alignment horizontal="center" wrapText="1"/>
    </xf>
    <xf numFmtId="1" fontId="15" fillId="0" borderId="0" xfId="0" applyNumberFormat="1" applyFont="1" applyAlignment="1">
      <alignment horizontal="center"/>
    </xf>
    <xf numFmtId="0" fontId="1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15" fillId="0" borderId="0" xfId="0" applyFont="1"/>
    <xf numFmtId="0" fontId="15" fillId="10" borderId="0" xfId="0" applyFont="1" applyFill="1"/>
    <xf numFmtId="0" fontId="21" fillId="9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/>
    </xf>
    <xf numFmtId="0" fontId="15" fillId="12" borderId="0" xfId="0" applyFont="1" applyFill="1" applyAlignment="1">
      <alignment horizontal="left"/>
    </xf>
    <xf numFmtId="1" fontId="15" fillId="12" borderId="0" xfId="0" applyNumberFormat="1" applyFont="1" applyFill="1" applyAlignment="1">
      <alignment horizontal="center"/>
    </xf>
    <xf numFmtId="0" fontId="17" fillId="12" borderId="0" xfId="0" applyFont="1" applyFill="1" applyAlignment="1">
      <alignment horizontal="left"/>
    </xf>
    <xf numFmtId="0" fontId="15" fillId="13" borderId="0" xfId="0" applyFont="1" applyFill="1" applyAlignment="1">
      <alignment horizontal="center"/>
    </xf>
    <xf numFmtId="0" fontId="15" fillId="12" borderId="0" xfId="0" applyFont="1" applyFill="1" applyAlignment="1"/>
  </cellXfs>
  <cellStyles count="18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Footnote" xfId="12"/>
    <cellStyle name="Good" xfId="3" builtinId="26" customBuiltin="1"/>
    <cellStyle name="Heading" xfId="13"/>
    <cellStyle name="Heading 1" xfId="1" builtinId="16" customBuiltin="1"/>
    <cellStyle name="Heading 2" xfId="2" builtinId="17" customBuiltin="1"/>
    <cellStyle name="Hyperlink" xfId="14"/>
    <cellStyle name="Neutral" xfId="5" builtinId="28" customBuiltin="1"/>
    <cellStyle name="Normal" xfId="0" builtinId="0" customBuiltin="1"/>
    <cellStyle name="Note" xfId="6" builtinId="10" customBuiltin="1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workbookViewId="0">
      <selection activeCell="A7" sqref="A7:K9"/>
    </sheetView>
  </sheetViews>
  <sheetFormatPr defaultRowHeight="15.75" customHeight="1" x14ac:dyDescent="0.35"/>
  <cols>
    <col min="1" max="1" width="10.4140625" style="25" customWidth="1"/>
    <col min="2" max="2" width="23.58203125" style="25" customWidth="1"/>
    <col min="3" max="3" width="29.5" style="25" customWidth="1"/>
    <col min="4" max="11" width="8.4140625" style="25" customWidth="1"/>
    <col min="12" max="12" width="11.6640625" style="25" customWidth="1"/>
    <col min="13" max="1024" width="11.6640625" customWidth="1"/>
  </cols>
  <sheetData>
    <row r="1" spans="1:14" ht="30.75" customHeight="1" x14ac:dyDescent="0.35">
      <c r="A1" s="20" t="s">
        <v>0</v>
      </c>
      <c r="B1" s="20" t="s">
        <v>26</v>
      </c>
      <c r="C1" s="20" t="s">
        <v>27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4</v>
      </c>
    </row>
    <row r="2" spans="1:14" ht="14.5" x14ac:dyDescent="0.35">
      <c r="A2" s="16">
        <f ca="1">IFERROR(__xludf.dummyfunction("""COMPUTED_VALUE"""),7)</f>
        <v>7</v>
      </c>
      <c r="B2" s="5" t="str">
        <f ca="1">IFERROR(__xludf.dummyfunction("""COMPUTED_VALUE"""),"Harry Trotter")</f>
        <v>Harry Trotter</v>
      </c>
      <c r="C2" s="5" t="str">
        <f ca="1">IFERROR(__xludf.dummyfunction("""COMPUTED_VALUE"""),"Austin Friars St Monicas School")</f>
        <v>Austin Friars St Monicas School</v>
      </c>
      <c r="D2" s="16" t="s">
        <v>40</v>
      </c>
      <c r="E2" s="22">
        <f ca="1">IFERROR(__xludf.dummyfunction("iferror(1000+INT(($N$2-(index(split(D4,"":""),1)*60+index(split(D4,"":""),2 )))/0.2+1)*$N$3,"""")"),808)</f>
        <v>808</v>
      </c>
      <c r="F2" s="16">
        <f ca="1">IFERROR(_xlfn.RANK.EQ(E2,E:E),"")</f>
        <v>2</v>
      </c>
      <c r="G2" s="16" t="s">
        <v>41</v>
      </c>
      <c r="H2" s="22">
        <f ca="1">IFERROR(__xludf.dummyfunction("iferror(1000+INT(($N$4-(index(split(G4,"":""),1)*60+index(split(G4,"":""),2 )))/0.2+1)*$N$5,"""")"),1018)</f>
        <v>1018</v>
      </c>
      <c r="I2" s="16">
        <f ca="1">IFERROR(_xlfn.RANK.EQ(H2,H:H),"")</f>
        <v>1</v>
      </c>
      <c r="J2" s="22">
        <f ca="1">IF(AND(D2="", G2=""), "", E2+H2)</f>
        <v>1826</v>
      </c>
      <c r="K2" s="16">
        <f ca="1">IFERROR(_xlfn.RANK.EQ(J2,J:J),"")</f>
        <v>1</v>
      </c>
      <c r="L2" s="16"/>
      <c r="M2" s="7" t="s">
        <v>38</v>
      </c>
      <c r="N2" s="10">
        <f>VLOOKUP($L$1,'Scoring tables'!$A$2:$K$57,10,0)</f>
        <v>23</v>
      </c>
    </row>
    <row r="3" spans="1:14" ht="14.5" x14ac:dyDescent="0.35">
      <c r="A3" s="16">
        <f ca="1">IFERROR(__xludf.dummyfunction("Query(Entries!$A$2:$U$1205,""select A,C,D where B = '""&amp;L1&amp;""'"")"),5)</f>
        <v>5</v>
      </c>
      <c r="B3" s="5" t="str">
        <f ca="1">IFERROR(__xludf.dummyfunction("""COMPUTED_VALUE"""),"Myles Robinson")</f>
        <v>Myles Robinson</v>
      </c>
      <c r="C3" s="5" t="str">
        <f ca="1">IFERROR(__xludf.dummyfunction("""COMPUTED_VALUE"""),"St Johns Stonefold C of E Primary School")</f>
        <v>St Johns Stonefold C of E Primary School</v>
      </c>
      <c r="D3" s="16" t="s">
        <v>36</v>
      </c>
      <c r="E3" s="22">
        <f ca="1">IFERROR(__xludf.dummyfunction("iferror(1000+INT(($N$2-(index(split(D2,"":""),1)*60+index(split(D2,"":""),2 )))/0.2+1)*$N$3,"""")"),862)</f>
        <v>862</v>
      </c>
      <c r="F3" s="16">
        <f ca="1">IFERROR(_xlfn.RANK.EQ(E3,E:E),"")</f>
        <v>1</v>
      </c>
      <c r="G3" s="22" t="s">
        <v>37</v>
      </c>
      <c r="H3" s="22">
        <f ca="1">IFERROR(__xludf.dummyfunction("iferror(1000+INT(($N$4-(index(split(G2,"":""),1)*60+index(split(G2,"":""),2 )))/0.2+1)*$N$5,"""")"),616)</f>
        <v>616</v>
      </c>
      <c r="I3" s="16">
        <f ca="1">IFERROR(_xlfn.RANK.EQ(H3,H:H),"")</f>
        <v>4</v>
      </c>
      <c r="J3" s="22">
        <f t="shared" ref="J3:J21" ca="1" si="0">IF(AND(D3="", G3=""), "", E3+H3)</f>
        <v>1478</v>
      </c>
      <c r="K3" s="16">
        <f ca="1">IFERROR(_xlfn.RANK.EQ(J3,J:J),"")</f>
        <v>2</v>
      </c>
      <c r="L3" s="16"/>
      <c r="M3" s="7" t="s">
        <v>39</v>
      </c>
      <c r="N3" s="10">
        <f>VLOOKUP($L$1,'Scoring tables'!$A$2:$K$57,11,0)</f>
        <v>6</v>
      </c>
    </row>
    <row r="4" spans="1:14" ht="14.5" x14ac:dyDescent="0.35">
      <c r="A4" s="16">
        <f ca="1">IFERROR(__xludf.dummyfunction("""COMPUTED_VALUE"""),8)</f>
        <v>8</v>
      </c>
      <c r="B4" s="5" t="str">
        <f ca="1">IFERROR(__xludf.dummyfunction("""COMPUTED_VALUE"""),"Koby Brooke")</f>
        <v>Koby Brooke</v>
      </c>
      <c r="C4" s="5" t="str">
        <f ca="1">IFERROR(__xludf.dummyfunction("""COMPUTED_VALUE"""),"St Johns Stonefold C of E Primary School")</f>
        <v>St Johns Stonefold C of E Primary School</v>
      </c>
      <c r="D4" s="16" t="s">
        <v>42</v>
      </c>
      <c r="E4" s="22">
        <f ca="1">IFERROR(__xludf.dummyfunction("iferror(1000+INT(($N$2-(index(split(D5,"":""),1)*60+index(split(D5,"":""),2 )))/0.2+1)*$N$3,"""")"),478)</f>
        <v>478</v>
      </c>
      <c r="F4" s="16">
        <f ca="1">IFERROR(_xlfn.RANK.EQ(E4,E:E),"")</f>
        <v>5</v>
      </c>
      <c r="G4" s="16" t="s">
        <v>43</v>
      </c>
      <c r="H4" s="22">
        <f ca="1">IFERROR(__xludf.dummyfunction("iferror(1000+INT(($N$4-(index(split(G5,"":""),1)*60+index(split(G5,"":""),2 )))/0.2+1)*$N$5,"""")"),904)</f>
        <v>904</v>
      </c>
      <c r="I4" s="16">
        <f ca="1">IFERROR(_xlfn.RANK.EQ(H4,H:H),"")</f>
        <v>2</v>
      </c>
      <c r="J4" s="22">
        <f t="shared" ca="1" si="0"/>
        <v>1382</v>
      </c>
      <c r="K4" s="16">
        <f ca="1">IFERROR(_xlfn.RANK.EQ(J4,J:J),"")</f>
        <v>3</v>
      </c>
      <c r="L4" s="16"/>
      <c r="M4" s="7" t="s">
        <v>31</v>
      </c>
      <c r="N4" s="10">
        <f>VLOOKUP($L$1,'Scoring tables'!$A$2:$K$57,5,0)</f>
        <v>95</v>
      </c>
    </row>
    <row r="5" spans="1:14" ht="14.5" x14ac:dyDescent="0.35">
      <c r="A5" s="16">
        <f ca="1">IFERROR(__xludf.dummyfunction("""COMPUTED_VALUE"""),11)</f>
        <v>11</v>
      </c>
      <c r="B5" s="5" t="str">
        <f ca="1">IFERROR(__xludf.dummyfunction("""COMPUTED_VALUE"""),"Jacob Gilman")</f>
        <v>Jacob Gilman</v>
      </c>
      <c r="C5" s="5" t="str">
        <f ca="1">IFERROR(__xludf.dummyfunction("""COMPUTED_VALUE"""),"Aspull Church Primary School")</f>
        <v>Aspull Church Primary School</v>
      </c>
      <c r="D5" s="16" t="s">
        <v>44</v>
      </c>
      <c r="E5" s="22">
        <f ca="1">IFERROR(__xludf.dummyfunction("iferror(1000+INT(($N$2-(index(split(D8,"":""),1)*60+index(split(D8,"":""),2 )))/0.2+1)*$N$3,"""")"),646)</f>
        <v>646</v>
      </c>
      <c r="F5" s="16">
        <f ca="1">IFERROR(_xlfn.RANK.EQ(E5,E:E),"")</f>
        <v>3</v>
      </c>
      <c r="G5" s="16" t="s">
        <v>45</v>
      </c>
      <c r="H5" s="22">
        <f ca="1">IFERROR(__xludf.dummyfunction("iferror(1000+INT(($N$4-(index(split(G8,"":""),1)*60+index(split(G8,"":""),2 )))/0.2+1)*$N$5,"""")"),700)</f>
        <v>700</v>
      </c>
      <c r="I5" s="16">
        <f ca="1">IFERROR(_xlfn.RANK.EQ(H5,H:H),"")</f>
        <v>3</v>
      </c>
      <c r="J5" s="22">
        <f t="shared" ca="1" si="0"/>
        <v>1346</v>
      </c>
      <c r="K5" s="16">
        <f ca="1">IFERROR(_xlfn.RANK.EQ(J5,J:J),"")</f>
        <v>4</v>
      </c>
      <c r="L5" s="16"/>
      <c r="M5" s="7" t="s">
        <v>32</v>
      </c>
      <c r="N5" s="10">
        <f>VLOOKUP($L$1,'Scoring tables'!$A$2:$K$57,6,0)</f>
        <v>6</v>
      </c>
    </row>
    <row r="6" spans="1:14" ht="14.5" x14ac:dyDescent="0.35">
      <c r="A6" s="16">
        <f ca="1">IFERROR(__xludf.dummyfunction("""COMPUTED_VALUE"""),12)</f>
        <v>12</v>
      </c>
      <c r="B6" s="5" t="str">
        <f ca="1">IFERROR(__xludf.dummyfunction("""COMPUTED_VALUE"""),"Samuel Finnerty")</f>
        <v>Samuel Finnerty</v>
      </c>
      <c r="C6" s="5" t="str">
        <f ca="1">IFERROR(__xludf.dummyfunction("""COMPUTED_VALUE"""),"Aspull Church Primary School")</f>
        <v>Aspull Church Primary School</v>
      </c>
      <c r="D6" s="16" t="s">
        <v>46</v>
      </c>
      <c r="E6" s="22">
        <f ca="1">IFERROR(__xludf.dummyfunction("iferror(1000+INT(($N$2-(index(split(D9,"":""),1)*60+index(split(D9,"":""),2 )))/0.2+1)*$N$3,"""")"),562)</f>
        <v>562</v>
      </c>
      <c r="F6" s="16">
        <f ca="1">IFERROR(_xlfn.RANK.EQ(E6,E:E),"")</f>
        <v>4</v>
      </c>
      <c r="G6" s="16" t="s">
        <v>47</v>
      </c>
      <c r="H6" s="22">
        <f ca="1">IFERROR(__xludf.dummyfunction("iferror(1000+INT(($N$4-(index(split(G9,"":""),1)*60+index(split(G9,"":""),2 )))/0.2+1)*$N$5,"""")"),316)</f>
        <v>316</v>
      </c>
      <c r="I6" s="16">
        <f ca="1">IFERROR(_xlfn.RANK.EQ(H6,H:H),"")</f>
        <v>5</v>
      </c>
      <c r="J6" s="22">
        <f t="shared" ca="1" si="0"/>
        <v>878</v>
      </c>
      <c r="K6" s="16">
        <f ca="1">IFERROR(_xlfn.RANK.EQ(J6,J:J),"")</f>
        <v>5</v>
      </c>
      <c r="L6" s="16"/>
    </row>
    <row r="7" spans="1:14" ht="14.5" x14ac:dyDescent="0.35">
      <c r="A7" s="28">
        <f ca="1">IFERROR(__xludf.dummyfunction("""COMPUTED_VALUE"""),6)</f>
        <v>6</v>
      </c>
      <c r="B7" s="29" t="str">
        <f ca="1">IFERROR(__xludf.dummyfunction("""COMPUTED_VALUE"""),"George Bentley")</f>
        <v>George Bentley</v>
      </c>
      <c r="C7" s="29" t="str">
        <f ca="1">IFERROR(__xludf.dummyfunction("""COMPUTED_VALUE"""),"Bolton Le Sands CE Primary School")</f>
        <v>Bolton Le Sands CE Primary School</v>
      </c>
      <c r="D7" s="28"/>
      <c r="E7" s="30" t="str">
        <f ca="1">IFERROR(__xludf.dummyfunction("iferror(1000+INT(($N$2-(index(split(D3,"":""),1)*60+index(split(D3,"":""),2 )))/0.2+1)*$N$3,"""")"),"")</f>
        <v/>
      </c>
      <c r="F7" s="28" t="str">
        <f ca="1">IFERROR(_xlfn.RANK.EQ(E7,E:E),"")</f>
        <v/>
      </c>
      <c r="G7" s="28"/>
      <c r="H7" s="30" t="str">
        <f ca="1">IFERROR(__xludf.dummyfunction("iferror(1000+INT(($N$4-(index(split(G3,"":""),1)*60+index(split(G3,"":""),2 )))/0.2+1)*$N$5,"""")"),"")</f>
        <v/>
      </c>
      <c r="I7" s="28" t="str">
        <f ca="1">IFERROR(_xlfn.RANK.EQ(H7,H:H),"")</f>
        <v/>
      </c>
      <c r="J7" s="30" t="str">
        <f t="shared" si="0"/>
        <v/>
      </c>
      <c r="K7" s="28" t="s">
        <v>444</v>
      </c>
      <c r="L7" s="16"/>
    </row>
    <row r="8" spans="1:14" ht="14.5" x14ac:dyDescent="0.35">
      <c r="A8" s="28">
        <f ca="1">IFERROR(__xludf.dummyfunction("""COMPUTED_VALUE"""),9)</f>
        <v>9</v>
      </c>
      <c r="B8" s="29" t="str">
        <f ca="1">IFERROR(__xludf.dummyfunction("""COMPUTED_VALUE"""),"Leo Brownrigg")</f>
        <v>Leo Brownrigg</v>
      </c>
      <c r="C8" s="29" t="str">
        <f ca="1">IFERROR(__xludf.dummyfunction("""COMPUTED_VALUE"""),"Mylnhurst Preparatory School")</f>
        <v>Mylnhurst Preparatory School</v>
      </c>
      <c r="D8" s="28"/>
      <c r="E8" s="30" t="str">
        <f ca="1">IFERROR(__xludf.dummyfunction("iferror(1000+INT(($N$2-(index(split(D6,"":""),1)*60+index(split(D6,"":""),2 )))/0.2+1)*$N$3,"""")"),"")</f>
        <v/>
      </c>
      <c r="F8" s="28" t="str">
        <f ca="1">IFERROR(_xlfn.RANK.EQ(E8,E:E),"")</f>
        <v/>
      </c>
      <c r="G8" s="28"/>
      <c r="H8" s="30" t="str">
        <f ca="1">IFERROR(__xludf.dummyfunction("iferror(1000+INT(($N$4-(index(split(G6,"":""),1)*60+index(split(G6,"":""),2 )))/0.2+1)*$N$5,"""")"),"")</f>
        <v/>
      </c>
      <c r="I8" s="28" t="str">
        <f ca="1">IFERROR(_xlfn.RANK.EQ(H8,H:H),"")</f>
        <v/>
      </c>
      <c r="J8" s="30" t="str">
        <f t="shared" si="0"/>
        <v/>
      </c>
      <c r="K8" s="28" t="s">
        <v>444</v>
      </c>
      <c r="L8" s="16"/>
    </row>
    <row r="9" spans="1:14" ht="14.5" x14ac:dyDescent="0.35">
      <c r="A9" s="28">
        <f ca="1">IFERROR(__xludf.dummyfunction("""COMPUTED_VALUE"""),10)</f>
        <v>10</v>
      </c>
      <c r="B9" s="29" t="str">
        <f ca="1">IFERROR(__xludf.dummyfunction("""COMPUTED_VALUE"""),"Shaan Mehrotra")</f>
        <v>Shaan Mehrotra</v>
      </c>
      <c r="C9" s="29" t="str">
        <f ca="1">IFERROR(__xludf.dummyfunction("""COMPUTED_VALUE"""),"Mylnhurst Preparatory School")</f>
        <v>Mylnhurst Preparatory School</v>
      </c>
      <c r="D9" s="28"/>
      <c r="E9" s="30" t="str">
        <f ca="1">IFERROR(__xludf.dummyfunction("iferror(1000+INT(($N$2-(index(split(D7,"":""),1)*60+index(split(D7,"":""),2 )))/0.2+1)*$N$3,"""")"),"")</f>
        <v/>
      </c>
      <c r="F9" s="28" t="str">
        <f ca="1">IFERROR(_xlfn.RANK.EQ(E9,E:E),"")</f>
        <v/>
      </c>
      <c r="G9" s="28"/>
      <c r="H9" s="30" t="str">
        <f ca="1">IFERROR(__xludf.dummyfunction("iferror(1000+INT(($N$4-(index(split(G7,"":""),1)*60+index(split(G7,"":""),2 )))/0.2+1)*$N$5,"""")"),"")</f>
        <v/>
      </c>
      <c r="I9" s="28" t="str">
        <f ca="1">IFERROR(_xlfn.RANK.EQ(H9,H:H),"")</f>
        <v/>
      </c>
      <c r="J9" s="30" t="str">
        <f t="shared" si="0"/>
        <v/>
      </c>
      <c r="K9" s="28" t="s">
        <v>444</v>
      </c>
      <c r="L9" s="16"/>
    </row>
    <row r="10" spans="1:14" ht="14.5" x14ac:dyDescent="0.35">
      <c r="A10" s="16"/>
      <c r="B10" s="16"/>
      <c r="C10" s="16"/>
      <c r="D10" s="16"/>
      <c r="E10" s="22" t="str">
        <f ca="1">IFERROR(__xludf.dummyfunction("iferror(1000+INT(($N$2-(index(split(D10,"":""),1)*60+index(split(D10,"":""),2 )))/0.2+1)*$N$3,"""")"),"")</f>
        <v/>
      </c>
      <c r="F10" s="16" t="str">
        <f t="shared" ref="F2:F33" ca="1" si="1">IFERROR(_xlfn.RANK.EQ(E10,E:E),"")</f>
        <v/>
      </c>
      <c r="G10" s="16"/>
      <c r="H10" s="22" t="str">
        <f ca="1">IFERROR(__xludf.dummyfunction("iferror(1000+INT(($N$4-(index(split(G10,"":""),1)*60+index(split(G10,"":""),2 )))/0.2+1)*$N$5,"""")"),"")</f>
        <v/>
      </c>
      <c r="I10" s="16" t="str">
        <f t="shared" ref="I2:I33" ca="1" si="2">IFERROR(_xlfn.RANK.EQ(H10,H:H),"")</f>
        <v/>
      </c>
      <c r="J10" s="22" t="str">
        <f t="shared" si="0"/>
        <v/>
      </c>
      <c r="K10" s="16" t="str">
        <f t="shared" ref="K2:K33" si="3">IFERROR(_xlfn.RANK.EQ(J10,J:J),"")</f>
        <v/>
      </c>
      <c r="L10" s="16"/>
    </row>
    <row r="11" spans="1:14" ht="14.5" x14ac:dyDescent="0.35">
      <c r="A11" s="16"/>
      <c r="B11" s="16"/>
      <c r="C11" s="16"/>
      <c r="D11" s="23"/>
      <c r="E11" s="22" t="str">
        <f ca="1">IFERROR(__xludf.dummyfunction("iferror(1000+INT(($N$2-(index(split(D11,"":""),1)*60+index(split(D11,"":""),2 )))/0.2+1)*$N$3,"""")"),"")</f>
        <v/>
      </c>
      <c r="F11" s="16" t="str">
        <f t="shared" ca="1" si="1"/>
        <v/>
      </c>
      <c r="G11" s="16"/>
      <c r="H11" s="22" t="str">
        <f ca="1">IFERROR(__xludf.dummyfunction("iferror(1000+INT(($N$4-(index(split(G11,"":""),1)*60+index(split(G11,"":""),2 )))/0.2+1)*$N$5,"""")"),"")</f>
        <v/>
      </c>
      <c r="I11" s="16" t="str">
        <f t="shared" ca="1" si="2"/>
        <v/>
      </c>
      <c r="J11" s="22" t="str">
        <f t="shared" si="0"/>
        <v/>
      </c>
      <c r="K11" s="16" t="str">
        <f t="shared" si="3"/>
        <v/>
      </c>
      <c r="L11" s="16"/>
    </row>
    <row r="12" spans="1:14" ht="14.5" x14ac:dyDescent="0.35">
      <c r="A12" s="16"/>
      <c r="B12" s="16"/>
      <c r="C12" s="16"/>
      <c r="D12" s="16"/>
      <c r="E12" s="22" t="str">
        <f ca="1">IFERROR(__xludf.dummyfunction("iferror(1000+INT(($N$2-(index(split(D12,"":""),1)*60+index(split(D12,"":""),2 )))/0.2+1)*$N$3,"""")"),"")</f>
        <v/>
      </c>
      <c r="F12" s="16" t="str">
        <f t="shared" ca="1" si="1"/>
        <v/>
      </c>
      <c r="G12" s="16"/>
      <c r="H12" s="22" t="str">
        <f ca="1">IFERROR(__xludf.dummyfunction("iferror(1000+INT(($N$4-(index(split(G12,"":""),1)*60+index(split(G12,"":""),2 )))/0.2+1)*$N$5,"""")"),"")</f>
        <v/>
      </c>
      <c r="I12" s="16" t="str">
        <f t="shared" ca="1" si="2"/>
        <v/>
      </c>
      <c r="J12" s="22" t="str">
        <f t="shared" si="0"/>
        <v/>
      </c>
      <c r="K12" s="16" t="str">
        <f t="shared" si="3"/>
        <v/>
      </c>
      <c r="L12" s="16"/>
    </row>
    <row r="13" spans="1:14" ht="14.5" x14ac:dyDescent="0.35">
      <c r="A13" s="16"/>
      <c r="B13" s="16"/>
      <c r="C13" s="16"/>
      <c r="D13" s="16"/>
      <c r="E13" s="22" t="str">
        <f ca="1">IFERROR(__xludf.dummyfunction("iferror(1000+INT(($N$2-(index(split(D13,"":""),1)*60+index(split(D13,"":""),2 )))/0.2+1)*$N$3,"""")"),"")</f>
        <v/>
      </c>
      <c r="F13" s="16" t="str">
        <f t="shared" ca="1" si="1"/>
        <v/>
      </c>
      <c r="G13" s="16"/>
      <c r="H13" s="22" t="str">
        <f ca="1">IFERROR(__xludf.dummyfunction("iferror(1000+INT(($N$4-(index(split(G13,"":""),1)*60+index(split(G13,"":""),2 )))/0.2+1)*$N$5,"""")"),"")</f>
        <v/>
      </c>
      <c r="I13" s="16" t="str">
        <f t="shared" ca="1" si="2"/>
        <v/>
      </c>
      <c r="J13" s="22" t="str">
        <f t="shared" si="0"/>
        <v/>
      </c>
      <c r="K13" s="16" t="str">
        <f t="shared" si="3"/>
        <v/>
      </c>
      <c r="L13" s="16"/>
    </row>
    <row r="14" spans="1:14" ht="14.5" x14ac:dyDescent="0.35">
      <c r="A14" s="16"/>
      <c r="B14" s="16"/>
      <c r="C14" s="16"/>
      <c r="D14" s="16"/>
      <c r="E14" s="22" t="str">
        <f ca="1">IFERROR(__xludf.dummyfunction("iferror(1000+INT(($N$2-(index(split(D14,"":""),1)*60+index(split(D14,"":""),2 )))/0.2+1)*$N$3,"""")"),"")</f>
        <v/>
      </c>
      <c r="F14" s="16" t="str">
        <f t="shared" ca="1" si="1"/>
        <v/>
      </c>
      <c r="G14" s="16"/>
      <c r="H14" s="22" t="str">
        <f ca="1">IFERROR(__xludf.dummyfunction("iferror(1000+INT(($N$4-(index(split(G14,"":""),1)*60+index(split(G14,"":""),2 )))/0.2+1)*$N$5,"""")"),"")</f>
        <v/>
      </c>
      <c r="I14" s="16" t="str">
        <f t="shared" ca="1" si="2"/>
        <v/>
      </c>
      <c r="J14" s="22" t="str">
        <f t="shared" si="0"/>
        <v/>
      </c>
      <c r="K14" s="16" t="str">
        <f t="shared" si="3"/>
        <v/>
      </c>
      <c r="L14" s="16"/>
    </row>
    <row r="15" spans="1:14" ht="14.5" x14ac:dyDescent="0.35">
      <c r="A15" s="16"/>
      <c r="B15" s="16"/>
      <c r="C15" s="16"/>
      <c r="D15" s="16"/>
      <c r="E15" s="22" t="str">
        <f ca="1">IFERROR(__xludf.dummyfunction("iferror(1000+INT(($N$2-(index(split(D15,"":""),1)*60+index(split(D15,"":""),2 )))/0.2+1)*$N$3,"""")"),"")</f>
        <v/>
      </c>
      <c r="F15" s="16" t="str">
        <f t="shared" ca="1" si="1"/>
        <v/>
      </c>
      <c r="G15" s="16"/>
      <c r="H15" s="22" t="str">
        <f ca="1">IFERROR(__xludf.dummyfunction("iferror(1000+INT(($N$4-(index(split(G15,"":""),1)*60+index(split(G15,"":""),2 )))/0.2+1)*$N$5,"""")"),"")</f>
        <v/>
      </c>
      <c r="I15" s="16" t="str">
        <f t="shared" ca="1" si="2"/>
        <v/>
      </c>
      <c r="J15" s="22" t="str">
        <f t="shared" si="0"/>
        <v/>
      </c>
      <c r="K15" s="16" t="str">
        <f t="shared" si="3"/>
        <v/>
      </c>
      <c r="L15" s="16"/>
    </row>
    <row r="16" spans="1:14" ht="14.5" x14ac:dyDescent="0.35">
      <c r="A16" s="16"/>
      <c r="B16" s="16"/>
      <c r="C16" s="16"/>
      <c r="D16" s="23"/>
      <c r="E16" s="22" t="str">
        <f ca="1">IFERROR(__xludf.dummyfunction("iferror(1000+INT(($N$2-(index(split(D16,"":""),1)*60+index(split(D16,"":""),2 )))/0.2+1)*$N$3,"""")"),"")</f>
        <v/>
      </c>
      <c r="F16" s="16" t="str">
        <f t="shared" ca="1" si="1"/>
        <v/>
      </c>
      <c r="G16" s="16"/>
      <c r="H16" s="22" t="str">
        <f ca="1">IFERROR(__xludf.dummyfunction("iferror(1000+INT(($N$4-(index(split(G16,"":""),1)*60+index(split(G16,"":""),2 )))/0.2+1)*$N$5,"""")"),"")</f>
        <v/>
      </c>
      <c r="I16" s="16" t="str">
        <f t="shared" ca="1" si="2"/>
        <v/>
      </c>
      <c r="J16" s="22" t="str">
        <f t="shared" si="0"/>
        <v/>
      </c>
      <c r="K16" s="16" t="str">
        <f t="shared" si="3"/>
        <v/>
      </c>
      <c r="L16" s="16"/>
    </row>
    <row r="17" spans="1:12" ht="14.5" x14ac:dyDescent="0.35">
      <c r="A17" s="16"/>
      <c r="B17" s="16"/>
      <c r="C17" s="16"/>
      <c r="D17" s="16"/>
      <c r="E17" s="22" t="str">
        <f ca="1">IFERROR(__xludf.dummyfunction("iferror(1000+INT(($N$2-(index(split(D17,"":""),1)*60+index(split(D17,"":""),2 )))/0.2+1)*$N$3,"""")"),"")</f>
        <v/>
      </c>
      <c r="F17" s="16" t="str">
        <f t="shared" ca="1" si="1"/>
        <v/>
      </c>
      <c r="G17" s="16"/>
      <c r="H17" s="22" t="str">
        <f ca="1">IFERROR(__xludf.dummyfunction("iferror(1000+INT(($N$4-(index(split(G17,"":""),1)*60+index(split(G17,"":""),2 )))/0.2+1)*$N$5,"""")"),"")</f>
        <v/>
      </c>
      <c r="I17" s="16" t="str">
        <f t="shared" ca="1" si="2"/>
        <v/>
      </c>
      <c r="J17" s="22" t="str">
        <f t="shared" si="0"/>
        <v/>
      </c>
      <c r="K17" s="16" t="str">
        <f t="shared" si="3"/>
        <v/>
      </c>
      <c r="L17" s="16"/>
    </row>
    <row r="18" spans="1:12" ht="14.5" x14ac:dyDescent="0.35">
      <c r="A18" s="16"/>
      <c r="B18" s="16"/>
      <c r="C18" s="16"/>
      <c r="D18" s="16"/>
      <c r="E18" s="22" t="str">
        <f ca="1">IFERROR(__xludf.dummyfunction("iferror(1000+INT(($N$2-(index(split(D18,"":""),1)*60+index(split(D18,"":""),2 )))/0.2+1)*$N$3,"""")"),"")</f>
        <v/>
      </c>
      <c r="F18" s="16" t="str">
        <f t="shared" ca="1" si="1"/>
        <v/>
      </c>
      <c r="G18" s="16"/>
      <c r="H18" s="22" t="str">
        <f ca="1">IFERROR(__xludf.dummyfunction("iferror(1000+INT(($N$4-(index(split(G18,"":""),1)*60+index(split(G18,"":""),2 )))/0.2+1)*$N$5,"""")"),"")</f>
        <v/>
      </c>
      <c r="I18" s="16" t="str">
        <f t="shared" ca="1" si="2"/>
        <v/>
      </c>
      <c r="J18" s="22" t="str">
        <f t="shared" si="0"/>
        <v/>
      </c>
      <c r="K18" s="16" t="str">
        <f t="shared" si="3"/>
        <v/>
      </c>
      <c r="L18" s="16"/>
    </row>
    <row r="19" spans="1:12" ht="14.5" x14ac:dyDescent="0.35">
      <c r="A19" s="16"/>
      <c r="B19" s="16"/>
      <c r="C19" s="16"/>
      <c r="D19" s="16"/>
      <c r="E19" s="22" t="str">
        <f ca="1">IFERROR(__xludf.dummyfunction("iferror(1000+INT(($N$2-(index(split(D19,"":""),1)*60+index(split(D19,"":""),2 )))/0.2+1)*$N$3,"""")"),"")</f>
        <v/>
      </c>
      <c r="F19" s="16" t="str">
        <f t="shared" ca="1" si="1"/>
        <v/>
      </c>
      <c r="G19" s="16"/>
      <c r="H19" s="22" t="str">
        <f ca="1">IFERROR(__xludf.dummyfunction("iferror(1000+INT(($N$4-(index(split(G19,"":""),1)*60+index(split(G19,"":""),2 )))/0.2+1)*$N$5,"""")"),"")</f>
        <v/>
      </c>
      <c r="I19" s="16" t="str">
        <f t="shared" ca="1" si="2"/>
        <v/>
      </c>
      <c r="J19" s="22" t="str">
        <f t="shared" si="0"/>
        <v/>
      </c>
      <c r="K19" s="16" t="str">
        <f t="shared" si="3"/>
        <v/>
      </c>
      <c r="L19" s="16"/>
    </row>
    <row r="20" spans="1:12" ht="14.5" x14ac:dyDescent="0.35">
      <c r="A20" s="16"/>
      <c r="B20" s="16"/>
      <c r="C20" s="16"/>
      <c r="D20" s="16"/>
      <c r="E20" s="22" t="str">
        <f ca="1">IFERROR(__xludf.dummyfunction("iferror(1000+INT(($N$2-(index(split(D20,"":""),1)*60+index(split(D20,"":""),2 )))/0.2+1)*$N$3,"""")"),"")</f>
        <v/>
      </c>
      <c r="F20" s="16" t="str">
        <f t="shared" ca="1" si="1"/>
        <v/>
      </c>
      <c r="G20" s="16"/>
      <c r="H20" s="22" t="str">
        <f ca="1">IFERROR(__xludf.dummyfunction("iferror(1000+INT(($N$4-(index(split(G20,"":""),1)*60+index(split(G20,"":""),2 )))/0.2+1)*$N$5,"""")"),"")</f>
        <v/>
      </c>
      <c r="I20" s="16" t="str">
        <f t="shared" ca="1" si="2"/>
        <v/>
      </c>
      <c r="J20" s="22" t="str">
        <f t="shared" si="0"/>
        <v/>
      </c>
      <c r="K20" s="16" t="str">
        <f t="shared" si="3"/>
        <v/>
      </c>
      <c r="L20" s="16"/>
    </row>
    <row r="21" spans="1:12" ht="14.5" x14ac:dyDescent="0.35">
      <c r="A21" s="16"/>
      <c r="B21" s="16"/>
      <c r="C21" s="16"/>
      <c r="D21" s="16"/>
      <c r="E21" s="22" t="str">
        <f ca="1">IFERROR(__xludf.dummyfunction("iferror(1000+INT(($N$2-(index(split(D21,"":""),1)*60+index(split(D21,"":""),2 )))/0.2+1)*$N$3,"""")"),"")</f>
        <v/>
      </c>
      <c r="F21" s="16" t="str">
        <f t="shared" ca="1" si="1"/>
        <v/>
      </c>
      <c r="G21" s="16"/>
      <c r="H21" s="22" t="str">
        <f ca="1">IFERROR(__xludf.dummyfunction("iferror(1000+INT(($N$4-(index(split(G21,"":""),1)*60+index(split(G21,"":""),2 )))/0.2+1)*$N$5,"""")"),"")</f>
        <v/>
      </c>
      <c r="I21" s="16" t="str">
        <f t="shared" ca="1" si="2"/>
        <v/>
      </c>
      <c r="J21" s="22" t="str">
        <f t="shared" si="0"/>
        <v/>
      </c>
      <c r="K21" s="16" t="str">
        <f t="shared" si="3"/>
        <v/>
      </c>
      <c r="L21" s="16"/>
    </row>
    <row r="22" spans="1:12" ht="14.5" x14ac:dyDescent="0.35">
      <c r="A22" s="16"/>
      <c r="B22" s="16"/>
      <c r="C22" s="16"/>
      <c r="D22" s="23"/>
      <c r="E22" s="22" t="str">
        <f ca="1">IFERROR(__xludf.dummyfunction("iferror(1000+INT(($N$2-(index(split(D22,"":""),1)*60+index(split(D22,"":""),2 )))/0.2+1)*$N$3,"""")"),"")</f>
        <v/>
      </c>
      <c r="F22" s="16" t="str">
        <f t="shared" ca="1" si="1"/>
        <v/>
      </c>
      <c r="G22" s="16"/>
      <c r="H22" s="22" t="str">
        <f ca="1">IFERROR(__xludf.dummyfunction("iferror(1000+INT(($N$4-(index(split(G22,"":""),1)*60+index(split(G22,"":""),2 )))/0.2+1)*$N$5,"""")"),"")</f>
        <v/>
      </c>
      <c r="I22" s="16" t="str">
        <f t="shared" ca="1" si="2"/>
        <v/>
      </c>
      <c r="J22" s="16" t="str">
        <f t="shared" ref="J17:J24" ca="1" si="4">IF(AND(E16="", G22=""), "", E22+H22)</f>
        <v/>
      </c>
      <c r="K22" s="16" t="str">
        <f t="shared" ca="1" si="3"/>
        <v/>
      </c>
      <c r="L22" s="16"/>
    </row>
    <row r="23" spans="1:12" ht="14.5" x14ac:dyDescent="0.35">
      <c r="A23" s="16"/>
      <c r="B23" s="16"/>
      <c r="C23" s="16"/>
      <c r="D23" s="16"/>
      <c r="E23" s="22" t="str">
        <f ca="1">IFERROR(__xludf.dummyfunction("iferror(1000+INT(($N$2-(index(split(D23,"":""),1)*60+index(split(D23,"":""),2 )))/0.2+1)*$N$3,"""")"),"")</f>
        <v/>
      </c>
      <c r="F23" s="16" t="str">
        <f t="shared" ca="1" si="1"/>
        <v/>
      </c>
      <c r="G23" s="16"/>
      <c r="H23" s="22" t="str">
        <f ca="1">IFERROR(__xludf.dummyfunction("iferror(1000+INT(($N$4-(index(split(G23,"":""),1)*60+index(split(G23,"":""),2 )))/0.2+1)*$N$5,"""")"),"")</f>
        <v/>
      </c>
      <c r="I23" s="16" t="str">
        <f t="shared" ca="1" si="2"/>
        <v/>
      </c>
      <c r="J23" s="16" t="str">
        <f t="shared" ca="1" si="4"/>
        <v/>
      </c>
      <c r="K23" s="16" t="str">
        <f t="shared" ca="1" si="3"/>
        <v/>
      </c>
      <c r="L23" s="16"/>
    </row>
    <row r="24" spans="1:12" ht="14.5" x14ac:dyDescent="0.35">
      <c r="A24" s="16"/>
      <c r="B24" s="16"/>
      <c r="C24" s="16"/>
      <c r="D24" s="16"/>
      <c r="E24" s="22" t="str">
        <f ca="1">IFERROR(__xludf.dummyfunction("iferror(1000+INT(($N$2-(index(split(D24,"":""),1)*60+index(split(D24,"":""),2 )))/0.2+1)*$N$3,"""")"),"")</f>
        <v/>
      </c>
      <c r="F24" s="16" t="str">
        <f t="shared" ca="1" si="1"/>
        <v/>
      </c>
      <c r="G24" s="16"/>
      <c r="H24" s="22" t="str">
        <f ca="1">IFERROR(__xludf.dummyfunction("iferror(1000+INT(($N$4-(index(split(G24,"":""),1)*60+index(split(G24,"":""),2 )))/0.2+1)*$N$5,"""")"),"")</f>
        <v/>
      </c>
      <c r="I24" s="16" t="str">
        <f t="shared" ca="1" si="2"/>
        <v/>
      </c>
      <c r="J24" s="16" t="str">
        <f t="shared" ca="1" si="4"/>
        <v/>
      </c>
      <c r="K24" s="16" t="str">
        <f t="shared" ca="1" si="3"/>
        <v/>
      </c>
      <c r="L24" s="16"/>
    </row>
    <row r="25" spans="1:12" ht="14.5" x14ac:dyDescent="0.35">
      <c r="A25" s="16"/>
      <c r="B25" s="16"/>
      <c r="C25" s="16"/>
      <c r="D25" s="16"/>
      <c r="E25" s="22" t="str">
        <f ca="1">IFERROR(__xludf.dummyfunction("iferror(1000+INT(($N$2-(index(split(D25,"":""),1)*60+index(split(D25,"":""),2 )))/0.2+1)*$N$3,"""")"),"")</f>
        <v/>
      </c>
      <c r="F25" s="16" t="str">
        <f t="shared" ca="1" si="1"/>
        <v/>
      </c>
      <c r="G25" s="16"/>
      <c r="H25" s="22" t="str">
        <f ca="1">IFERROR(__xludf.dummyfunction("iferror(1000+INT(($N$4-(index(split(G25,"":""),1)*60+index(split(G25,"":""),2 )))/0.2+1)*$N$5,"""")"),"")</f>
        <v/>
      </c>
      <c r="I25" s="16" t="str">
        <f t="shared" ca="1" si="2"/>
        <v/>
      </c>
      <c r="J25" s="16" t="str">
        <f t="shared" ref="J25:J56" si="5">IF(AND(D25="", G25=""), "", E25+H25)</f>
        <v/>
      </c>
      <c r="K25" s="16" t="str">
        <f t="shared" si="3"/>
        <v/>
      </c>
      <c r="L25" s="16"/>
    </row>
    <row r="26" spans="1:12" ht="14.5" x14ac:dyDescent="0.35">
      <c r="A26" s="16"/>
      <c r="B26" s="16"/>
      <c r="C26" s="16"/>
      <c r="D26" s="23"/>
      <c r="E26" s="22" t="str">
        <f ca="1">IFERROR(__xludf.dummyfunction("iferror(1000+INT(($N$2-(index(split(D26,"":""),1)*60+index(split(D26,"":""),2 )))/0.2+1)*$N$3,"""")"),"")</f>
        <v/>
      </c>
      <c r="F26" s="16" t="str">
        <f t="shared" ca="1" si="1"/>
        <v/>
      </c>
      <c r="G26" s="16"/>
      <c r="H26" s="22" t="str">
        <f ca="1">IFERROR(__xludf.dummyfunction("iferror(1000+INT(($N$4-(index(split(G26,"":""),1)*60+index(split(G26,"":""),2 )))/0.2+1)*$N$5,"""")"),"")</f>
        <v/>
      </c>
      <c r="I26" s="16" t="str">
        <f t="shared" ca="1" si="2"/>
        <v/>
      </c>
      <c r="J26" s="16" t="str">
        <f t="shared" si="5"/>
        <v/>
      </c>
      <c r="K26" s="16" t="str">
        <f t="shared" si="3"/>
        <v/>
      </c>
      <c r="L26" s="16"/>
    </row>
    <row r="27" spans="1:12" ht="14.5" x14ac:dyDescent="0.35">
      <c r="A27" s="16"/>
      <c r="B27" s="16"/>
      <c r="C27" s="16"/>
      <c r="D27" s="16"/>
      <c r="E27" s="22" t="str">
        <f ca="1">IFERROR(__xludf.dummyfunction("iferror(1000+INT(($N$2-(index(split(D27,"":""),1)*60+index(split(D27,"":""),2 )))/0.2+1)*$N$3,"""")"),"")</f>
        <v/>
      </c>
      <c r="F27" s="16" t="str">
        <f t="shared" ca="1" si="1"/>
        <v/>
      </c>
      <c r="G27" s="16"/>
      <c r="H27" s="22" t="str">
        <f ca="1">IFERROR(__xludf.dummyfunction("iferror(1000+INT(($N$4-(index(split(G27,"":""),1)*60+index(split(G27,"":""),2 )))/0.2+1)*$N$5,"""")"),"")</f>
        <v/>
      </c>
      <c r="I27" s="16" t="str">
        <f t="shared" ca="1" si="2"/>
        <v/>
      </c>
      <c r="J27" s="16" t="str">
        <f t="shared" si="5"/>
        <v/>
      </c>
      <c r="K27" s="16" t="str">
        <f t="shared" si="3"/>
        <v/>
      </c>
      <c r="L27" s="16"/>
    </row>
    <row r="28" spans="1:12" ht="14.5" x14ac:dyDescent="0.35">
      <c r="A28" s="16"/>
      <c r="B28" s="16"/>
      <c r="C28" s="16"/>
      <c r="D28" s="16"/>
      <c r="E28" s="22" t="str">
        <f ca="1">IFERROR(__xludf.dummyfunction("iferror(1000+INT(($N$2-(index(split(D28,"":""),1)*60+index(split(D28,"":""),2 )))/0.2+1)*$N$3,"""")"),"")</f>
        <v/>
      </c>
      <c r="F28" s="16" t="str">
        <f t="shared" ca="1" si="1"/>
        <v/>
      </c>
      <c r="G28" s="16"/>
      <c r="H28" s="22" t="str">
        <f ca="1">IFERROR(__xludf.dummyfunction("iferror(1000+INT(($N$4-(index(split(G28,"":""),1)*60+index(split(G28,"":""),2 )))/0.2+1)*$N$5,"""")"),"")</f>
        <v/>
      </c>
      <c r="I28" s="16" t="str">
        <f t="shared" ca="1" si="2"/>
        <v/>
      </c>
      <c r="J28" s="16" t="str">
        <f t="shared" si="5"/>
        <v/>
      </c>
      <c r="K28" s="16" t="str">
        <f t="shared" si="3"/>
        <v/>
      </c>
      <c r="L28" s="16"/>
    </row>
    <row r="29" spans="1:12" ht="14.5" x14ac:dyDescent="0.35">
      <c r="A29" s="16"/>
      <c r="B29" s="16"/>
      <c r="C29" s="16"/>
      <c r="D29" s="16"/>
      <c r="E29" s="22" t="str">
        <f ca="1">IFERROR(__xludf.dummyfunction("iferror(1000+INT(($N$2-(index(split(D29,"":""),1)*60+index(split(D29,"":""),2 )))/0.2+1)*$N$3,"""")"),"")</f>
        <v/>
      </c>
      <c r="F29" s="16" t="str">
        <f t="shared" ca="1" si="1"/>
        <v/>
      </c>
      <c r="G29" s="16"/>
      <c r="H29" s="22" t="str">
        <f ca="1">IFERROR(__xludf.dummyfunction("iferror(1000+INT(($N$4-(index(split(G29,"":""),1)*60+index(split(G29,"":""),2 )))/0.2+1)*$N$5,"""")"),"")</f>
        <v/>
      </c>
      <c r="I29" s="16" t="str">
        <f t="shared" ca="1" si="2"/>
        <v/>
      </c>
      <c r="J29" s="16" t="str">
        <f t="shared" si="5"/>
        <v/>
      </c>
      <c r="K29" s="16" t="str">
        <f t="shared" si="3"/>
        <v/>
      </c>
      <c r="L29" s="16"/>
    </row>
    <row r="30" spans="1:12" ht="14.5" x14ac:dyDescent="0.35">
      <c r="A30" s="16"/>
      <c r="B30" s="16"/>
      <c r="C30" s="16"/>
      <c r="D30" s="16"/>
      <c r="E30" s="22" t="str">
        <f ca="1">IFERROR(__xludf.dummyfunction("iferror(1000+INT(($N$2-(index(split(D30,"":""),1)*60+index(split(D30,"":""),2 )))/0.2+1)*$N$3,"""")"),"")</f>
        <v/>
      </c>
      <c r="F30" s="16" t="str">
        <f t="shared" ca="1" si="1"/>
        <v/>
      </c>
      <c r="G30" s="16"/>
      <c r="H30" s="22" t="str">
        <f ca="1">IFERROR(__xludf.dummyfunction("iferror(1000+INT(($N$4-(index(split(G30,"":""),1)*60+index(split(G30,"":""),2 )))/0.2+1)*$N$5,"""")"),"")</f>
        <v/>
      </c>
      <c r="I30" s="16" t="str">
        <f t="shared" ca="1" si="2"/>
        <v/>
      </c>
      <c r="J30" s="16" t="str">
        <f t="shared" si="5"/>
        <v/>
      </c>
      <c r="K30" s="16" t="str">
        <f t="shared" si="3"/>
        <v/>
      </c>
      <c r="L30" s="16"/>
    </row>
    <row r="31" spans="1:12" ht="14.5" x14ac:dyDescent="0.35">
      <c r="A31" s="16"/>
      <c r="B31" s="16"/>
      <c r="C31" s="16"/>
      <c r="D31" s="16"/>
      <c r="E31" s="22" t="str">
        <f ca="1">IFERROR(__xludf.dummyfunction("iferror(1000+INT(($N$2-(index(split(D31,"":""),1)*60+index(split(D31,"":""),2 )))/0.2+1)*$N$3,"""")"),"")</f>
        <v/>
      </c>
      <c r="F31" s="16" t="str">
        <f t="shared" ca="1" si="1"/>
        <v/>
      </c>
      <c r="G31" s="16"/>
      <c r="H31" s="22" t="str">
        <f ca="1">IFERROR(__xludf.dummyfunction("iferror(1000+INT(($N$4-(index(split(G31,"":""),1)*60+index(split(G31,"":""),2 )))/0.2+1)*$N$5,"""")"),"")</f>
        <v/>
      </c>
      <c r="I31" s="16" t="str">
        <f t="shared" ca="1" si="2"/>
        <v/>
      </c>
      <c r="J31" s="16" t="str">
        <f t="shared" si="5"/>
        <v/>
      </c>
      <c r="K31" s="16" t="str">
        <f t="shared" si="3"/>
        <v/>
      </c>
      <c r="L31" s="16"/>
    </row>
    <row r="32" spans="1:12" ht="14.5" x14ac:dyDescent="0.35">
      <c r="A32" s="24"/>
      <c r="B32" s="16"/>
      <c r="C32" s="16"/>
      <c r="D32" s="16"/>
      <c r="E32" s="22" t="str">
        <f ca="1">IFERROR(__xludf.dummyfunction("iferror(1000+INT(($N$2-(index(split(D32,"":""),1)*60+index(split(D32,"":""),2 )))/0.2+1)*$N$3,"""")"),"")</f>
        <v/>
      </c>
      <c r="F32" s="16" t="str">
        <f t="shared" ca="1" si="1"/>
        <v/>
      </c>
      <c r="G32" s="16"/>
      <c r="H32" s="22" t="str">
        <f ca="1">IFERROR(__xludf.dummyfunction("iferror(1000+INT(($N$4-(index(split(G32,"":""),1)*60+index(split(G32,"":""),2 )))/0.2+1)*$N$5,"""")"),"")</f>
        <v/>
      </c>
      <c r="I32" s="16" t="str">
        <f t="shared" ca="1" si="2"/>
        <v/>
      </c>
      <c r="J32" s="16" t="str">
        <f t="shared" si="5"/>
        <v/>
      </c>
      <c r="K32" s="16" t="str">
        <f t="shared" si="3"/>
        <v/>
      </c>
      <c r="L32" s="16"/>
    </row>
    <row r="33" spans="1:12" ht="14.5" x14ac:dyDescent="0.35">
      <c r="A33" s="16"/>
      <c r="B33" s="16"/>
      <c r="C33" s="16"/>
      <c r="D33" s="16"/>
      <c r="E33" s="22" t="str">
        <f ca="1">IFERROR(__xludf.dummyfunction("iferror(1000+INT(($N$2-(index(split(D33,"":""),1)*60+index(split(D33,"":""),2 )))/0.2+1)*$N$3,"""")"),"")</f>
        <v/>
      </c>
      <c r="F33" s="16" t="str">
        <f t="shared" ca="1" si="1"/>
        <v/>
      </c>
      <c r="G33" s="16"/>
      <c r="H33" s="22" t="str">
        <f ca="1">IFERROR(__xludf.dummyfunction("iferror(1000+INT(($N$4-(index(split(G33,"":""),1)*60+index(split(G33,"":""),2 )))/0.2+1)*$N$5,"""")"),"")</f>
        <v/>
      </c>
      <c r="I33" s="16" t="str">
        <f t="shared" ca="1" si="2"/>
        <v/>
      </c>
      <c r="J33" s="16" t="str">
        <f t="shared" si="5"/>
        <v/>
      </c>
      <c r="K33" s="16" t="str">
        <f t="shared" si="3"/>
        <v/>
      </c>
      <c r="L33" s="16"/>
    </row>
    <row r="34" spans="1:12" ht="14.5" x14ac:dyDescent="0.35">
      <c r="A34" s="24"/>
      <c r="B34" s="16"/>
      <c r="C34" s="16"/>
      <c r="D34" s="16"/>
      <c r="E34" s="22" t="str">
        <f ca="1">IFERROR(__xludf.dummyfunction("iferror(1000+INT(($N$2-(index(split(D34,"":""),1)*60+index(split(D34,"":""),2 )))/0.2+1)*$N$3,"""")"),"")</f>
        <v/>
      </c>
      <c r="F34" s="16" t="str">
        <f t="shared" ref="F34:F65" ca="1" si="6">IFERROR(_xlfn.RANK.EQ(E34,E:E),"")</f>
        <v/>
      </c>
      <c r="G34" s="16"/>
      <c r="H34" s="22" t="str">
        <f ca="1">IFERROR(__xludf.dummyfunction("iferror(1000+INT(($N$4-(index(split(G34,"":""),1)*60+index(split(G34,"":""),2 )))/0.2+1)*$N$5,"""")"),"")</f>
        <v/>
      </c>
      <c r="I34" s="16" t="str">
        <f t="shared" ref="I34:I65" ca="1" si="7">IFERROR(_xlfn.RANK.EQ(H34,H:H),"")</f>
        <v/>
      </c>
      <c r="J34" s="16" t="str">
        <f t="shared" si="5"/>
        <v/>
      </c>
      <c r="K34" s="16" t="str">
        <f t="shared" ref="K34:K65" si="8">IFERROR(_xlfn.RANK.EQ(J34,J:J),"")</f>
        <v/>
      </c>
      <c r="L34" s="16"/>
    </row>
    <row r="35" spans="1:12" ht="14.5" x14ac:dyDescent="0.35">
      <c r="A35" s="16"/>
      <c r="B35" s="16"/>
      <c r="C35" s="16"/>
      <c r="D35" s="16"/>
      <c r="E35" s="22" t="str">
        <f ca="1">IFERROR(__xludf.dummyfunction("iferror(1000+INT(($N$2-(index(split(D35,"":""),1)*60+index(split(D35,"":""),2 )))/0.2+1)*$N$3,"""")"),"")</f>
        <v/>
      </c>
      <c r="F35" s="16" t="str">
        <f t="shared" ca="1" si="6"/>
        <v/>
      </c>
      <c r="G35" s="16"/>
      <c r="H35" s="22" t="str">
        <f ca="1">IFERROR(__xludf.dummyfunction("iferror(1000+INT(($N$4-(index(split(G35,"":""),1)*60+index(split(G35,"":""),2 )))/0.2+1)*$N$5,"""")"),"")</f>
        <v/>
      </c>
      <c r="I35" s="16" t="str">
        <f t="shared" ca="1" si="7"/>
        <v/>
      </c>
      <c r="J35" s="16" t="str">
        <f t="shared" si="5"/>
        <v/>
      </c>
      <c r="K35" s="16" t="str">
        <f t="shared" si="8"/>
        <v/>
      </c>
      <c r="L35" s="16"/>
    </row>
    <row r="36" spans="1:12" ht="14.5" x14ac:dyDescent="0.35">
      <c r="A36" s="24"/>
      <c r="B36" s="16"/>
      <c r="C36" s="16"/>
      <c r="D36" s="16"/>
      <c r="E36" s="22" t="str">
        <f ca="1">IFERROR(__xludf.dummyfunction("iferror(1000+INT(($N$2-(index(split(D36,"":""),1)*60+index(split(D36,"":""),2 )))/0.2+1)*$N$3,"""")"),"")</f>
        <v/>
      </c>
      <c r="F36" s="16" t="str">
        <f t="shared" ca="1" si="6"/>
        <v/>
      </c>
      <c r="G36" s="16"/>
      <c r="H36" s="22" t="str">
        <f ca="1">IFERROR(__xludf.dummyfunction("iferror(1000+INT(($N$4-(index(split(G36,"":""),1)*60+index(split(G36,"":""),2 )))/0.2+1)*$N$5,"""")"),"")</f>
        <v/>
      </c>
      <c r="I36" s="16" t="str">
        <f t="shared" ca="1" si="7"/>
        <v/>
      </c>
      <c r="J36" s="16" t="str">
        <f t="shared" si="5"/>
        <v/>
      </c>
      <c r="K36" s="16" t="str">
        <f t="shared" si="8"/>
        <v/>
      </c>
      <c r="L36" s="16"/>
    </row>
    <row r="37" spans="1:12" ht="14.5" x14ac:dyDescent="0.35">
      <c r="A37" s="16"/>
      <c r="B37" s="16"/>
      <c r="C37" s="16"/>
      <c r="D37" s="16"/>
      <c r="E37" s="22" t="str">
        <f ca="1">IFERROR(__xludf.dummyfunction("iferror(1000+INT(($N$2-(index(split(D37,"":""),1)*60+index(split(D37,"":""),2 )))/0.2+1)*$N$3,"""")"),"")</f>
        <v/>
      </c>
      <c r="F37" s="16" t="str">
        <f t="shared" ca="1" si="6"/>
        <v/>
      </c>
      <c r="G37" s="16"/>
      <c r="H37" s="22" t="str">
        <f ca="1">IFERROR(__xludf.dummyfunction("iferror(1000+INT(($N$4-(index(split(G37,"":""),1)*60+index(split(G37,"":""),2 )))/0.2+1)*$N$5,"""")"),"")</f>
        <v/>
      </c>
      <c r="I37" s="16" t="str">
        <f t="shared" ca="1" si="7"/>
        <v/>
      </c>
      <c r="J37" s="16" t="str">
        <f t="shared" si="5"/>
        <v/>
      </c>
      <c r="K37" s="16" t="str">
        <f t="shared" si="8"/>
        <v/>
      </c>
      <c r="L37" s="16"/>
    </row>
    <row r="38" spans="1:12" ht="14.5" x14ac:dyDescent="0.35">
      <c r="A38" s="24"/>
      <c r="B38" s="16"/>
      <c r="C38" s="16"/>
      <c r="D38" s="16"/>
      <c r="E38" s="22" t="str">
        <f ca="1">IFERROR(__xludf.dummyfunction("iferror(1000+INT(($N$2-(index(split(D38,"":""),1)*60+index(split(D38,"":""),2 )))/0.2+1)*$N$3,"""")"),"")</f>
        <v/>
      </c>
      <c r="F38" s="16" t="str">
        <f t="shared" ca="1" si="6"/>
        <v/>
      </c>
      <c r="G38" s="16"/>
      <c r="H38" s="22" t="str">
        <f ca="1">IFERROR(__xludf.dummyfunction("iferror(1000+INT(($N$4-(index(split(G38,"":""),1)*60+index(split(G38,"":""),2 )))/0.2+1)*$N$5,"""")"),"")</f>
        <v/>
      </c>
      <c r="I38" s="16" t="str">
        <f t="shared" ca="1" si="7"/>
        <v/>
      </c>
      <c r="J38" s="16" t="str">
        <f t="shared" si="5"/>
        <v/>
      </c>
      <c r="K38" s="16" t="str">
        <f t="shared" si="8"/>
        <v/>
      </c>
      <c r="L38" s="16"/>
    </row>
    <row r="39" spans="1:12" ht="14.5" x14ac:dyDescent="0.35">
      <c r="A39" s="16"/>
      <c r="B39" s="16"/>
      <c r="C39" s="16"/>
      <c r="D39" s="16"/>
      <c r="E39" s="22" t="str">
        <f ca="1">IFERROR(__xludf.dummyfunction("iferror(1000+INT(($N$2-(index(split(D39,"":""),1)*60+index(split(D39,"":""),2 )))/0.2+1)*$N$3,"""")"),"")</f>
        <v/>
      </c>
      <c r="F39" s="16" t="str">
        <f t="shared" ca="1" si="6"/>
        <v/>
      </c>
      <c r="G39" s="16"/>
      <c r="H39" s="22" t="str">
        <f ca="1">IFERROR(__xludf.dummyfunction("iferror(1000+INT(($N$4-(index(split(G39,"":""),1)*60+index(split(G39,"":""),2 )))/0.2+1)*$N$5,"""")"),"")</f>
        <v/>
      </c>
      <c r="I39" s="16" t="str">
        <f t="shared" ca="1" si="7"/>
        <v/>
      </c>
      <c r="J39" s="16" t="str">
        <f t="shared" si="5"/>
        <v/>
      </c>
      <c r="K39" s="16" t="str">
        <f t="shared" si="8"/>
        <v/>
      </c>
      <c r="L39" s="16"/>
    </row>
    <row r="40" spans="1:12" ht="14.5" x14ac:dyDescent="0.35">
      <c r="A40" s="16"/>
      <c r="B40" s="16"/>
      <c r="C40" s="16"/>
      <c r="D40" s="16"/>
      <c r="E40" s="22" t="str">
        <f ca="1">IFERROR(__xludf.dummyfunction("iferror(1000+INT(($N$2-(index(split(D40,"":""),1)*60+index(split(D40,"":""),2 )))/0.2+1)*$N$3,"""")"),"")</f>
        <v/>
      </c>
      <c r="F40" s="16" t="str">
        <f t="shared" ca="1" si="6"/>
        <v/>
      </c>
      <c r="G40" s="16"/>
      <c r="H40" s="22" t="str">
        <f ca="1">IFERROR(__xludf.dummyfunction("iferror(1000+INT(($N$4-(index(split(G40,"":""),1)*60+index(split(G40,"":""),2 )))/0.2+1)*$N$5,"""")"),"")</f>
        <v/>
      </c>
      <c r="I40" s="16" t="str">
        <f t="shared" ca="1" si="7"/>
        <v/>
      </c>
      <c r="J40" s="16" t="str">
        <f t="shared" si="5"/>
        <v/>
      </c>
      <c r="K40" s="16" t="str">
        <f t="shared" si="8"/>
        <v/>
      </c>
      <c r="L40" s="16"/>
    </row>
    <row r="41" spans="1:12" ht="14.5" x14ac:dyDescent="0.35">
      <c r="A41" s="16"/>
      <c r="B41" s="16"/>
      <c r="C41" s="16"/>
      <c r="D41" s="16"/>
      <c r="E41" s="22" t="str">
        <f ca="1">IFERROR(__xludf.dummyfunction("iferror(1000+INT(($N$2-(index(split(D41,"":""),1)*60+index(split(D41,"":""),2 )))/0.2+1)*$N$3,"""")"),"")</f>
        <v/>
      </c>
      <c r="F41" s="16" t="str">
        <f t="shared" ca="1" si="6"/>
        <v/>
      </c>
      <c r="G41" s="16"/>
      <c r="H41" s="22" t="str">
        <f ca="1">IFERROR(__xludf.dummyfunction("iferror(1000+INT(($N$4-(index(split(G41,"":""),1)*60+index(split(G41,"":""),2 )))/0.2+1)*$N$5,"""")"),"")</f>
        <v/>
      </c>
      <c r="I41" s="16" t="str">
        <f t="shared" ca="1" si="7"/>
        <v/>
      </c>
      <c r="J41" s="16" t="str">
        <f t="shared" si="5"/>
        <v/>
      </c>
      <c r="K41" s="16" t="str">
        <f t="shared" si="8"/>
        <v/>
      </c>
      <c r="L41" s="16"/>
    </row>
    <row r="42" spans="1:12" ht="14.5" x14ac:dyDescent="0.35">
      <c r="A42" s="16"/>
      <c r="B42" s="16"/>
      <c r="C42" s="16"/>
      <c r="D42" s="16"/>
      <c r="E42" s="22" t="str">
        <f ca="1">IFERROR(__xludf.dummyfunction("iferror(1000+INT(($N$2-(index(split(D42,"":""),1)*60+index(split(D42,"":""),2 )))/0.2+1)*$N$3,"""")"),"")</f>
        <v/>
      </c>
      <c r="F42" s="16" t="str">
        <f t="shared" ca="1" si="6"/>
        <v/>
      </c>
      <c r="G42" s="16"/>
      <c r="H42" s="22" t="str">
        <f ca="1">IFERROR(__xludf.dummyfunction("iferror(1000+INT(($N$4-(index(split(G42,"":""),1)*60+index(split(G42,"":""),2 )))/0.2+1)*$N$5,"""")"),"")</f>
        <v/>
      </c>
      <c r="I42" s="16" t="str">
        <f t="shared" ca="1" si="7"/>
        <v/>
      </c>
      <c r="J42" s="16" t="str">
        <f t="shared" si="5"/>
        <v/>
      </c>
      <c r="K42" s="16" t="str">
        <f t="shared" si="8"/>
        <v/>
      </c>
      <c r="L42" s="16"/>
    </row>
    <row r="43" spans="1:12" ht="14.5" x14ac:dyDescent="0.35">
      <c r="A43" s="16"/>
      <c r="B43" s="16"/>
      <c r="C43" s="16"/>
      <c r="D43" s="16"/>
      <c r="E43" s="22" t="str">
        <f ca="1">IFERROR(__xludf.dummyfunction("iferror(1000+INT(($N$2-(index(split(D43,"":""),1)*60+index(split(D43,"":""),2 )))/0.2+1)*$N$3,"""")"),"")</f>
        <v/>
      </c>
      <c r="F43" s="16" t="str">
        <f t="shared" ca="1" si="6"/>
        <v/>
      </c>
      <c r="G43" s="16"/>
      <c r="H43" s="22" t="str">
        <f ca="1">IFERROR(__xludf.dummyfunction("iferror(1000+INT(($N$4-(index(split(G43,"":""),1)*60+index(split(G43,"":""),2 )))/0.2+1)*$N$5,"""")"),"")</f>
        <v/>
      </c>
      <c r="I43" s="16" t="str">
        <f t="shared" ca="1" si="7"/>
        <v/>
      </c>
      <c r="J43" s="16" t="str">
        <f t="shared" si="5"/>
        <v/>
      </c>
      <c r="K43" s="16" t="str">
        <f t="shared" si="8"/>
        <v/>
      </c>
      <c r="L43" s="16"/>
    </row>
    <row r="44" spans="1:12" ht="14.5" x14ac:dyDescent="0.35">
      <c r="A44" s="16"/>
      <c r="B44" s="16"/>
      <c r="C44" s="16"/>
      <c r="D44" s="16"/>
      <c r="E44" s="22" t="str">
        <f ca="1">IFERROR(__xludf.dummyfunction("iferror(1000+INT(($N$2-(index(split(D44,"":""),1)*60+index(split(D44,"":""),2 )))/0.2+1)*$N$3,"""")"),"")</f>
        <v/>
      </c>
      <c r="F44" s="16" t="str">
        <f t="shared" ca="1" si="6"/>
        <v/>
      </c>
      <c r="G44" s="16"/>
      <c r="H44" s="22" t="str">
        <f ca="1">IFERROR(__xludf.dummyfunction("iferror(1000+INT(($N$4-(index(split(G44,"":""),1)*60+index(split(G44,"":""),2 )))/0.2+1)*$N$5,"""")"),"")</f>
        <v/>
      </c>
      <c r="I44" s="16" t="str">
        <f t="shared" ca="1" si="7"/>
        <v/>
      </c>
      <c r="J44" s="16" t="str">
        <f t="shared" si="5"/>
        <v/>
      </c>
      <c r="K44" s="16" t="str">
        <f t="shared" si="8"/>
        <v/>
      </c>
      <c r="L44" s="16"/>
    </row>
    <row r="45" spans="1:12" ht="14.5" x14ac:dyDescent="0.35">
      <c r="A45" s="16"/>
      <c r="B45" s="16"/>
      <c r="C45" s="16"/>
      <c r="D45" s="16"/>
      <c r="E45" s="22" t="str">
        <f ca="1">IFERROR(__xludf.dummyfunction("iferror(1000+INT(($N$2-(index(split(D45,"":""),1)*60+index(split(D45,"":""),2 )))/0.2+1)*$N$3,"""")"),"")</f>
        <v/>
      </c>
      <c r="F45" s="16" t="str">
        <f t="shared" ca="1" si="6"/>
        <v/>
      </c>
      <c r="G45" s="16"/>
      <c r="H45" s="22" t="str">
        <f ca="1">IFERROR(__xludf.dummyfunction("iferror(1000+INT(($N$4-(index(split(G45,"":""),1)*60+index(split(G45,"":""),2 )))/0.2+1)*$N$5,"""")"),"")</f>
        <v/>
      </c>
      <c r="I45" s="16" t="str">
        <f t="shared" ca="1" si="7"/>
        <v/>
      </c>
      <c r="J45" s="16" t="str">
        <f t="shared" si="5"/>
        <v/>
      </c>
      <c r="K45" s="16" t="str">
        <f t="shared" si="8"/>
        <v/>
      </c>
      <c r="L45" s="16"/>
    </row>
    <row r="46" spans="1:12" ht="14.5" x14ac:dyDescent="0.35">
      <c r="A46" s="16"/>
      <c r="B46" s="16"/>
      <c r="C46" s="16"/>
      <c r="D46" s="16"/>
      <c r="E46" s="22" t="str">
        <f ca="1">IFERROR(__xludf.dummyfunction("iferror(1000+INT(($N$2-(index(split(D46,"":""),1)*60+index(split(D46,"":""),2 )))/0.2+1)*$N$3,"""")"),"")</f>
        <v/>
      </c>
      <c r="F46" s="16" t="str">
        <f t="shared" ca="1" si="6"/>
        <v/>
      </c>
      <c r="G46" s="16"/>
      <c r="H46" s="22" t="str">
        <f ca="1">IFERROR(__xludf.dummyfunction("iferror(1000+INT(($N$4-(index(split(G46,"":""),1)*60+index(split(G46,"":""),2 )))/0.2+1)*$N$5,"""")"),"")</f>
        <v/>
      </c>
      <c r="I46" s="16" t="str">
        <f t="shared" ca="1" si="7"/>
        <v/>
      </c>
      <c r="J46" s="16" t="str">
        <f t="shared" si="5"/>
        <v/>
      </c>
      <c r="K46" s="16" t="str">
        <f t="shared" si="8"/>
        <v/>
      </c>
      <c r="L46" s="16"/>
    </row>
    <row r="47" spans="1:12" ht="14.5" x14ac:dyDescent="0.35">
      <c r="A47" s="16"/>
      <c r="B47" s="16"/>
      <c r="C47" s="16"/>
      <c r="D47" s="16"/>
      <c r="E47" s="22" t="str">
        <f ca="1">IFERROR(__xludf.dummyfunction("iferror(1000+INT(($N$2-(index(split(D47,"":""),1)*60+index(split(D47,"":""),2 )))/0.2+1)*$N$3,"""")"),"")</f>
        <v/>
      </c>
      <c r="F47" s="16" t="str">
        <f t="shared" ca="1" si="6"/>
        <v/>
      </c>
      <c r="G47" s="16"/>
      <c r="H47" s="22" t="str">
        <f ca="1">IFERROR(__xludf.dummyfunction("iferror(1000+INT(($N$4-(index(split(G47,"":""),1)*60+index(split(G47,"":""),2 )))/0.2+1)*$N$5,"""")"),"")</f>
        <v/>
      </c>
      <c r="I47" s="16" t="str">
        <f t="shared" ca="1" si="7"/>
        <v/>
      </c>
      <c r="J47" s="16" t="str">
        <f t="shared" si="5"/>
        <v/>
      </c>
      <c r="K47" s="16" t="str">
        <f t="shared" si="8"/>
        <v/>
      </c>
      <c r="L47" s="16"/>
    </row>
    <row r="48" spans="1:12" ht="14.5" x14ac:dyDescent="0.35">
      <c r="A48" s="16"/>
      <c r="B48" s="16"/>
      <c r="C48" s="16"/>
      <c r="D48" s="16"/>
      <c r="E48" s="22" t="str">
        <f ca="1">IFERROR(__xludf.dummyfunction("iferror(1000+INT(($N$2-(index(split(D48,"":""),1)*60+index(split(D48,"":""),2 )))/0.2+1)*$N$3,"""")"),"")</f>
        <v/>
      </c>
      <c r="F48" s="16" t="str">
        <f t="shared" ca="1" si="6"/>
        <v/>
      </c>
      <c r="G48" s="16"/>
      <c r="H48" s="22" t="str">
        <f ca="1">IFERROR(__xludf.dummyfunction("iferror(1000+INT(($N$4-(index(split(G48,"":""),1)*60+index(split(G48,"":""),2 )))/0.2+1)*$N$5,"""")"),"")</f>
        <v/>
      </c>
      <c r="I48" s="16" t="str">
        <f t="shared" ca="1" si="7"/>
        <v/>
      </c>
      <c r="J48" s="16" t="str">
        <f t="shared" si="5"/>
        <v/>
      </c>
      <c r="K48" s="16" t="str">
        <f t="shared" si="8"/>
        <v/>
      </c>
      <c r="L48" s="16"/>
    </row>
    <row r="49" spans="1:12" ht="14.5" x14ac:dyDescent="0.35">
      <c r="A49" s="16"/>
      <c r="B49" s="16"/>
      <c r="C49" s="16"/>
      <c r="D49" s="16"/>
      <c r="E49" s="22" t="str">
        <f ca="1">IFERROR(__xludf.dummyfunction("iferror(1000+INT(($N$2-(index(split(D49,"":""),1)*60+index(split(D49,"":""),2 )))/0.2+1)*$N$3,"""")"),"")</f>
        <v/>
      </c>
      <c r="F49" s="16" t="str">
        <f t="shared" ca="1" si="6"/>
        <v/>
      </c>
      <c r="G49" s="16"/>
      <c r="H49" s="22" t="str">
        <f ca="1">IFERROR(__xludf.dummyfunction("iferror(1000+INT(($N$4-(index(split(G49,"":""),1)*60+index(split(G49,"":""),2 )))/0.2+1)*$N$5,"""")"),"")</f>
        <v/>
      </c>
      <c r="I49" s="16" t="str">
        <f t="shared" ca="1" si="7"/>
        <v/>
      </c>
      <c r="J49" s="16" t="str">
        <f t="shared" si="5"/>
        <v/>
      </c>
      <c r="K49" s="16" t="str">
        <f t="shared" si="8"/>
        <v/>
      </c>
      <c r="L49" s="16"/>
    </row>
    <row r="50" spans="1:12" ht="14.5" x14ac:dyDescent="0.35">
      <c r="A50" s="16"/>
      <c r="B50" s="16"/>
      <c r="C50" s="16"/>
      <c r="D50" s="16"/>
      <c r="E50" s="22" t="str">
        <f ca="1">IFERROR(__xludf.dummyfunction("iferror(1000+INT(($N$2-(index(split(D50,"":""),1)*60+index(split(D50,"":""),2 )))/0.2+1)*$N$3,"""")"),"")</f>
        <v/>
      </c>
      <c r="F50" s="16" t="str">
        <f t="shared" ca="1" si="6"/>
        <v/>
      </c>
      <c r="G50" s="16"/>
      <c r="H50" s="22" t="str">
        <f ca="1">IFERROR(__xludf.dummyfunction("iferror(1000+INT(($N$4-(index(split(G50,"":""),1)*60+index(split(G50,"":""),2 )))/0.2+1)*$N$5,"""")"),"")</f>
        <v/>
      </c>
      <c r="I50" s="16" t="str">
        <f t="shared" ca="1" si="7"/>
        <v/>
      </c>
      <c r="J50" s="16" t="str">
        <f t="shared" si="5"/>
        <v/>
      </c>
      <c r="K50" s="16" t="str">
        <f t="shared" si="8"/>
        <v/>
      </c>
      <c r="L50" s="16"/>
    </row>
    <row r="51" spans="1:12" ht="14.5" x14ac:dyDescent="0.35">
      <c r="A51" s="16"/>
      <c r="B51" s="16"/>
      <c r="C51" s="16"/>
      <c r="D51" s="16"/>
      <c r="E51" s="22" t="str">
        <f ca="1">IFERROR(__xludf.dummyfunction("iferror(1000+INT(($N$2-(index(split(D51,"":""),1)*60+index(split(D51,"":""),2 )))/0.2+1)*$N$3,"""")"),"")</f>
        <v/>
      </c>
      <c r="F51" s="16" t="str">
        <f t="shared" ca="1" si="6"/>
        <v/>
      </c>
      <c r="G51" s="16"/>
      <c r="H51" s="22" t="str">
        <f ca="1">IFERROR(__xludf.dummyfunction("iferror(1000+INT(($N$4-(index(split(G51,"":""),1)*60+index(split(G51,"":""),2 )))/0.2+1)*$N$5,"""")"),"")</f>
        <v/>
      </c>
      <c r="I51" s="16" t="str">
        <f t="shared" ca="1" si="7"/>
        <v/>
      </c>
      <c r="J51" s="16" t="str">
        <f t="shared" si="5"/>
        <v/>
      </c>
      <c r="K51" s="16" t="str">
        <f t="shared" si="8"/>
        <v/>
      </c>
      <c r="L51" s="16"/>
    </row>
    <row r="52" spans="1:12" ht="14.5" x14ac:dyDescent="0.35">
      <c r="A52" s="16"/>
      <c r="B52" s="16"/>
      <c r="C52" s="16"/>
      <c r="D52" s="16"/>
      <c r="E52" s="22" t="str">
        <f ca="1">IFERROR(__xludf.dummyfunction("iferror(1000+INT(($N$2-(index(split(D52,"":""),1)*60+index(split(D52,"":""),2 )))/0.2+1)*$N$3,"""")"),"")</f>
        <v/>
      </c>
      <c r="F52" s="16" t="str">
        <f t="shared" ca="1" si="6"/>
        <v/>
      </c>
      <c r="G52" s="16"/>
      <c r="H52" s="22" t="str">
        <f ca="1">IFERROR(__xludf.dummyfunction("iferror(1000+INT(($N$4-(index(split(G52,"":""),1)*60+index(split(G52,"":""),2 )))/0.2+1)*$N$5,"""")"),"")</f>
        <v/>
      </c>
      <c r="I52" s="16" t="str">
        <f t="shared" ca="1" si="7"/>
        <v/>
      </c>
      <c r="J52" s="16" t="str">
        <f t="shared" si="5"/>
        <v/>
      </c>
      <c r="K52" s="16" t="str">
        <f t="shared" si="8"/>
        <v/>
      </c>
      <c r="L52" s="16"/>
    </row>
    <row r="53" spans="1:12" ht="14.5" x14ac:dyDescent="0.35">
      <c r="A53" s="16"/>
      <c r="B53" s="16"/>
      <c r="C53" s="16"/>
      <c r="D53" s="16"/>
      <c r="E53" s="22" t="str">
        <f ca="1">IFERROR(__xludf.dummyfunction("iferror(1000+INT(($N$2-(index(split(D53,"":""),1)*60+index(split(D53,"":""),2 )))/0.2+1)*$N$3,"""")"),"")</f>
        <v/>
      </c>
      <c r="F53" s="16" t="str">
        <f t="shared" ca="1" si="6"/>
        <v/>
      </c>
      <c r="G53" s="16"/>
      <c r="H53" s="22" t="str">
        <f ca="1">IFERROR(__xludf.dummyfunction("iferror(1000+INT(($N$4-(index(split(G53,"":""),1)*60+index(split(G53,"":""),2 )))/0.2+1)*$N$5,"""")"),"")</f>
        <v/>
      </c>
      <c r="I53" s="16" t="str">
        <f t="shared" ca="1" si="7"/>
        <v/>
      </c>
      <c r="J53" s="16" t="str">
        <f t="shared" si="5"/>
        <v/>
      </c>
      <c r="K53" s="16" t="str">
        <f t="shared" si="8"/>
        <v/>
      </c>
      <c r="L53" s="16"/>
    </row>
    <row r="54" spans="1:12" ht="14.5" x14ac:dyDescent="0.35">
      <c r="A54" s="16"/>
      <c r="B54" s="16"/>
      <c r="C54" s="16"/>
      <c r="D54" s="16"/>
      <c r="E54" s="22" t="str">
        <f ca="1">IFERROR(__xludf.dummyfunction("iferror(1000+INT(($N$2-(index(split(D54,"":""),1)*60+index(split(D54,"":""),2 )))/0.2+1)*$N$3,"""")"),"")</f>
        <v/>
      </c>
      <c r="F54" s="16" t="str">
        <f t="shared" ca="1" si="6"/>
        <v/>
      </c>
      <c r="G54" s="16"/>
      <c r="H54" s="22" t="str">
        <f ca="1">IFERROR(__xludf.dummyfunction("iferror(1000+INT(($N$4-(index(split(G54,"":""),1)*60+index(split(G54,"":""),2 )))/0.2+1)*$N$5,"""")"),"")</f>
        <v/>
      </c>
      <c r="I54" s="16" t="str">
        <f t="shared" ca="1" si="7"/>
        <v/>
      </c>
      <c r="J54" s="16" t="str">
        <f t="shared" si="5"/>
        <v/>
      </c>
      <c r="K54" s="16" t="str">
        <f t="shared" si="8"/>
        <v/>
      </c>
      <c r="L54" s="16"/>
    </row>
    <row r="55" spans="1:12" ht="14.5" x14ac:dyDescent="0.35">
      <c r="A55" s="16"/>
      <c r="B55" s="16"/>
      <c r="C55" s="16"/>
      <c r="D55" s="16"/>
      <c r="E55" s="22" t="str">
        <f ca="1">IFERROR(__xludf.dummyfunction("iferror(1000+INT(($N$2-(index(split(D55,"":""),1)*60+index(split(D55,"":""),2 )))/0.2+1)*$N$3,"""")"),"")</f>
        <v/>
      </c>
      <c r="F55" s="16" t="str">
        <f t="shared" ca="1" si="6"/>
        <v/>
      </c>
      <c r="G55" s="16"/>
      <c r="H55" s="22" t="str">
        <f ca="1">IFERROR(__xludf.dummyfunction("iferror(1000+INT(($N$4-(index(split(G55,"":""),1)*60+index(split(G55,"":""),2 )))/0.2+1)*$N$5,"""")"),"")</f>
        <v/>
      </c>
      <c r="I55" s="16" t="str">
        <f t="shared" ca="1" si="7"/>
        <v/>
      </c>
      <c r="J55" s="16" t="str">
        <f t="shared" si="5"/>
        <v/>
      </c>
      <c r="K55" s="16" t="str">
        <f t="shared" si="8"/>
        <v/>
      </c>
      <c r="L55" s="16"/>
    </row>
    <row r="56" spans="1:12" ht="14.5" x14ac:dyDescent="0.35">
      <c r="A56" s="16"/>
      <c r="B56" s="16"/>
      <c r="C56" s="16"/>
      <c r="D56" s="16"/>
      <c r="E56" s="22" t="str">
        <f ca="1">IFERROR(__xludf.dummyfunction("iferror(1000+INT(($N$2-(index(split(D56,"":""),1)*60+index(split(D56,"":""),2 )))/0.2+1)*$N$3,"""")"),"")</f>
        <v/>
      </c>
      <c r="F56" s="16" t="str">
        <f t="shared" ca="1" si="6"/>
        <v/>
      </c>
      <c r="G56" s="16"/>
      <c r="H56" s="22" t="str">
        <f ca="1">IFERROR(__xludf.dummyfunction("iferror(1000+INT(($N$4-(index(split(G56,"":""),1)*60+index(split(G56,"":""),2 )))/0.2+1)*$N$5,"""")"),"")</f>
        <v/>
      </c>
      <c r="I56" s="16" t="str">
        <f t="shared" ca="1" si="7"/>
        <v/>
      </c>
      <c r="J56" s="16" t="str">
        <f t="shared" si="5"/>
        <v/>
      </c>
      <c r="K56" s="16" t="str">
        <f t="shared" si="8"/>
        <v/>
      </c>
      <c r="L56" s="16"/>
    </row>
    <row r="57" spans="1:12" ht="14.5" x14ac:dyDescent="0.35">
      <c r="A57" s="16"/>
      <c r="B57" s="16"/>
      <c r="C57" s="16"/>
      <c r="D57" s="16"/>
      <c r="E57" s="22" t="str">
        <f ca="1">IFERROR(__xludf.dummyfunction("iferror(1000+INT(($N$2-(index(split(D57,"":""),1)*60+index(split(D57,"":""),2 )))/0.2+1)*$N$3,"""")"),"")</f>
        <v/>
      </c>
      <c r="F57" s="16" t="str">
        <f t="shared" ca="1" si="6"/>
        <v/>
      </c>
      <c r="G57" s="16"/>
      <c r="H57" s="22" t="str">
        <f ca="1">IFERROR(__xludf.dummyfunction("iferror(1000+INT(($N$4-(index(split(G57,"":""),1)*60+index(split(G57,"":""),2 )))/0.2+1)*$N$5,"""")"),"")</f>
        <v/>
      </c>
      <c r="I57" s="16" t="str">
        <f t="shared" ca="1" si="7"/>
        <v/>
      </c>
      <c r="J57" s="16" t="str">
        <f t="shared" ref="J57:J88" si="9">IF(AND(D57="", G57=""), "", E57+H57)</f>
        <v/>
      </c>
      <c r="K57" s="16" t="str">
        <f t="shared" si="8"/>
        <v/>
      </c>
      <c r="L57" s="16"/>
    </row>
    <row r="58" spans="1:12" ht="14.5" x14ac:dyDescent="0.35">
      <c r="A58" s="16"/>
      <c r="B58" s="16"/>
      <c r="C58" s="16"/>
      <c r="D58" s="16"/>
      <c r="E58" s="22" t="str">
        <f ca="1">IFERROR(__xludf.dummyfunction("iferror(1000+INT(($N$2-(index(split(D58,"":""),1)*60+index(split(D58,"":""),2 )))/0.2+1)*$N$3,"""")"),"")</f>
        <v/>
      </c>
      <c r="F58" s="16" t="str">
        <f t="shared" ca="1" si="6"/>
        <v/>
      </c>
      <c r="G58" s="16"/>
      <c r="H58" s="22" t="str">
        <f ca="1">IFERROR(__xludf.dummyfunction("iferror(1000+INT(($N$4-(index(split(G58,"":""),1)*60+index(split(G58,"":""),2 )))/0.2+1)*$N$5,"""")"),"")</f>
        <v/>
      </c>
      <c r="I58" s="16" t="str">
        <f t="shared" ca="1" si="7"/>
        <v/>
      </c>
      <c r="J58" s="16" t="str">
        <f t="shared" si="9"/>
        <v/>
      </c>
      <c r="K58" s="16" t="str">
        <f t="shared" si="8"/>
        <v/>
      </c>
      <c r="L58" s="16"/>
    </row>
    <row r="59" spans="1:12" ht="14.5" x14ac:dyDescent="0.35">
      <c r="A59" s="16"/>
      <c r="B59" s="16"/>
      <c r="C59" s="16"/>
      <c r="D59" s="16"/>
      <c r="E59" s="22" t="str">
        <f ca="1">IFERROR(__xludf.dummyfunction("iferror(1000+INT(($N$2-(index(split(D59,"":""),1)*60+index(split(D59,"":""),2 )))/0.2+1)*$N$3,"""")"),"")</f>
        <v/>
      </c>
      <c r="F59" s="16" t="str">
        <f t="shared" ca="1" si="6"/>
        <v/>
      </c>
      <c r="G59" s="16"/>
      <c r="H59" s="22" t="str">
        <f ca="1">IFERROR(__xludf.dummyfunction("iferror(1000+INT(($N$4-(index(split(G59,"":""),1)*60+index(split(G59,"":""),2 )))/0.2+1)*$N$5,"""")"),"")</f>
        <v/>
      </c>
      <c r="I59" s="16" t="str">
        <f t="shared" ca="1" si="7"/>
        <v/>
      </c>
      <c r="J59" s="16" t="str">
        <f t="shared" si="9"/>
        <v/>
      </c>
      <c r="K59" s="16" t="str">
        <f t="shared" si="8"/>
        <v/>
      </c>
      <c r="L59" s="16"/>
    </row>
    <row r="60" spans="1:12" ht="14.5" x14ac:dyDescent="0.35">
      <c r="A60" s="16"/>
      <c r="B60" s="16"/>
      <c r="C60" s="16"/>
      <c r="D60" s="16"/>
      <c r="E60" s="22" t="str">
        <f ca="1">IFERROR(__xludf.dummyfunction("iferror(1000+INT(($N$2-(index(split(D60,"":""),1)*60+index(split(D60,"":""),2 )))/0.2+1)*$N$3,"""")"),"")</f>
        <v/>
      </c>
      <c r="F60" s="16" t="str">
        <f t="shared" ca="1" si="6"/>
        <v/>
      </c>
      <c r="G60" s="16"/>
      <c r="H60" s="22" t="str">
        <f ca="1">IFERROR(__xludf.dummyfunction("iferror(1000+INT(($N$4-(index(split(G60,"":""),1)*60+index(split(G60,"":""),2 )))/0.2+1)*$N$5,"""")"),"")</f>
        <v/>
      </c>
      <c r="I60" s="16" t="str">
        <f t="shared" ca="1" si="7"/>
        <v/>
      </c>
      <c r="J60" s="16" t="str">
        <f t="shared" si="9"/>
        <v/>
      </c>
      <c r="K60" s="16" t="str">
        <f t="shared" si="8"/>
        <v/>
      </c>
      <c r="L60" s="16"/>
    </row>
    <row r="61" spans="1:12" ht="14.5" x14ac:dyDescent="0.35">
      <c r="A61" s="16"/>
      <c r="B61" s="16"/>
      <c r="C61" s="16"/>
      <c r="D61" s="16"/>
      <c r="E61" s="22" t="str">
        <f ca="1">IFERROR(__xludf.dummyfunction("iferror(1000+INT(($N$2-(index(split(D61,"":""),1)*60+index(split(D61,"":""),2 )))/0.2+1)*$N$3,"""")"),"")</f>
        <v/>
      </c>
      <c r="F61" s="16" t="str">
        <f t="shared" ca="1" si="6"/>
        <v/>
      </c>
      <c r="G61" s="16"/>
      <c r="H61" s="22" t="str">
        <f ca="1">IFERROR(__xludf.dummyfunction("iferror(1000+INT(($N$4-(index(split(G61,"":""),1)*60+index(split(G61,"":""),2 )))/0.2+1)*$N$5,"""")"),"")</f>
        <v/>
      </c>
      <c r="I61" s="16" t="str">
        <f t="shared" ca="1" si="7"/>
        <v/>
      </c>
      <c r="J61" s="16" t="str">
        <f t="shared" si="9"/>
        <v/>
      </c>
      <c r="K61" s="16" t="str">
        <f t="shared" si="8"/>
        <v/>
      </c>
      <c r="L61" s="16"/>
    </row>
    <row r="62" spans="1:12" ht="14.5" x14ac:dyDescent="0.35">
      <c r="A62" s="16"/>
      <c r="B62" s="16"/>
      <c r="C62" s="16"/>
      <c r="D62" s="16"/>
      <c r="E62" s="22" t="str">
        <f ca="1">IFERROR(__xludf.dummyfunction("iferror(1000+INT(($N$2-(index(split(D62,"":""),1)*60+index(split(D62,"":""),2 )))/0.2+1)*$N$3,"""")"),"")</f>
        <v/>
      </c>
      <c r="F62" s="16" t="str">
        <f t="shared" ca="1" si="6"/>
        <v/>
      </c>
      <c r="G62" s="16"/>
      <c r="H62" s="22" t="str">
        <f ca="1">IFERROR(__xludf.dummyfunction("iferror(1000+INT(($N$4-(index(split(G62,"":""),1)*60+index(split(G62,"":""),2 )))/0.2+1)*$N$5,"""")"),"")</f>
        <v/>
      </c>
      <c r="I62" s="16" t="str">
        <f t="shared" ca="1" si="7"/>
        <v/>
      </c>
      <c r="J62" s="16" t="str">
        <f t="shared" si="9"/>
        <v/>
      </c>
      <c r="K62" s="16" t="str">
        <f t="shared" si="8"/>
        <v/>
      </c>
      <c r="L62" s="16"/>
    </row>
    <row r="63" spans="1:12" ht="14.5" x14ac:dyDescent="0.35">
      <c r="A63" s="16"/>
      <c r="B63" s="16"/>
      <c r="C63" s="16"/>
      <c r="D63" s="16"/>
      <c r="E63" s="22" t="str">
        <f ca="1">IFERROR(__xludf.dummyfunction("iferror(1000+INT(($N$2-(index(split(D63,"":""),1)*60+index(split(D63,"":""),2 )))/0.2+1)*$N$3,"""")"),"")</f>
        <v/>
      </c>
      <c r="F63" s="16" t="str">
        <f t="shared" ca="1" si="6"/>
        <v/>
      </c>
      <c r="G63" s="16"/>
      <c r="H63" s="22" t="str">
        <f ca="1">IFERROR(__xludf.dummyfunction("iferror(1000+INT(($N$4-(index(split(G63,"":""),1)*60+index(split(G63,"":""),2 )))/0.2+1)*$N$5,"""")"),"")</f>
        <v/>
      </c>
      <c r="I63" s="16" t="str">
        <f t="shared" ca="1" si="7"/>
        <v/>
      </c>
      <c r="J63" s="16" t="str">
        <f t="shared" si="9"/>
        <v/>
      </c>
      <c r="K63" s="16" t="str">
        <f t="shared" si="8"/>
        <v/>
      </c>
      <c r="L63" s="16"/>
    </row>
    <row r="64" spans="1:12" ht="14.5" x14ac:dyDescent="0.35">
      <c r="A64" s="16"/>
      <c r="B64" s="16"/>
      <c r="C64" s="16"/>
      <c r="D64" s="16"/>
      <c r="E64" s="22" t="str">
        <f ca="1">IFERROR(__xludf.dummyfunction("iferror(1000+INT(($N$2-(index(split(D64,"":""),1)*60+index(split(D64,"":""),2 )))/0.2+1)*$N$3,"""")"),"")</f>
        <v/>
      </c>
      <c r="F64" s="16" t="str">
        <f t="shared" ca="1" si="6"/>
        <v/>
      </c>
      <c r="G64" s="16"/>
      <c r="H64" s="22" t="str">
        <f ca="1">IFERROR(__xludf.dummyfunction("iferror(1000+INT(($N$4-(index(split(G64,"":""),1)*60+index(split(G64,"":""),2 )))/0.2+1)*$N$5,"""")"),"")</f>
        <v/>
      </c>
      <c r="I64" s="16" t="str">
        <f t="shared" ca="1" si="7"/>
        <v/>
      </c>
      <c r="J64" s="16" t="str">
        <f t="shared" si="9"/>
        <v/>
      </c>
      <c r="K64" s="16" t="str">
        <f t="shared" si="8"/>
        <v/>
      </c>
      <c r="L64" s="16"/>
    </row>
    <row r="65" spans="1:12" ht="14.5" x14ac:dyDescent="0.35">
      <c r="A65" s="16"/>
      <c r="B65" s="16"/>
      <c r="C65" s="16"/>
      <c r="D65" s="16"/>
      <c r="E65" s="22" t="str">
        <f ca="1">IFERROR(__xludf.dummyfunction("iferror(1000+INT(($N$2-(index(split(D65,"":""),1)*60+index(split(D65,"":""),2 )))/0.2+1)*$N$3,"""")"),"")</f>
        <v/>
      </c>
      <c r="F65" s="16" t="str">
        <f t="shared" ca="1" si="6"/>
        <v/>
      </c>
      <c r="G65" s="16"/>
      <c r="H65" s="22" t="str">
        <f ca="1">IFERROR(__xludf.dummyfunction("iferror(1000+INT(($N$4-(index(split(G65,"":""),1)*60+index(split(G65,"":""),2 )))/0.2+1)*$N$5,"""")"),"")</f>
        <v/>
      </c>
      <c r="I65" s="16" t="str">
        <f t="shared" ca="1" si="7"/>
        <v/>
      </c>
      <c r="J65" s="16" t="str">
        <f t="shared" si="9"/>
        <v/>
      </c>
      <c r="K65" s="16" t="str">
        <f t="shared" si="8"/>
        <v/>
      </c>
      <c r="L65" s="16"/>
    </row>
    <row r="66" spans="1:12" ht="14.5" x14ac:dyDescent="0.35">
      <c r="A66" s="16"/>
      <c r="B66" s="16"/>
      <c r="C66" s="16"/>
      <c r="D66" s="16"/>
      <c r="E66" s="22" t="str">
        <f ca="1">IFERROR(__xludf.dummyfunction("iferror(1000+INT(($N$2-(index(split(D66,"":""),1)*60+index(split(D66,"":""),2 )))/0.2+1)*$N$3,"""")"),"")</f>
        <v/>
      </c>
      <c r="F66" s="16" t="str">
        <f t="shared" ref="F66:F97" ca="1" si="10">IFERROR(_xlfn.RANK.EQ(E66,E:E),"")</f>
        <v/>
      </c>
      <c r="G66" s="16"/>
      <c r="H66" s="22" t="str">
        <f ca="1">IFERROR(__xludf.dummyfunction("iferror(1000+INT(($N$4-(index(split(G66,"":""),1)*60+index(split(G66,"":""),2 )))/0.2+1)*$N$5,"""")"),"")</f>
        <v/>
      </c>
      <c r="I66" s="16" t="str">
        <f t="shared" ref="I66:I97" ca="1" si="11">IFERROR(_xlfn.RANK.EQ(H66,H:H),"")</f>
        <v/>
      </c>
      <c r="J66" s="16" t="str">
        <f t="shared" si="9"/>
        <v/>
      </c>
      <c r="K66" s="16" t="str">
        <f t="shared" ref="K66:K97" si="12">IFERROR(_xlfn.RANK.EQ(J66,J:J),"")</f>
        <v/>
      </c>
      <c r="L66" s="16"/>
    </row>
    <row r="67" spans="1:12" ht="14.5" x14ac:dyDescent="0.35">
      <c r="A67" s="16"/>
      <c r="B67" s="16"/>
      <c r="C67" s="16"/>
      <c r="D67" s="16"/>
      <c r="E67" s="22" t="str">
        <f ca="1">IFERROR(__xludf.dummyfunction("iferror(1000+INT(($N$2-(index(split(D67,"":""),1)*60+index(split(D67,"":""),2 )))/0.2+1)*$N$3,"""")"),"")</f>
        <v/>
      </c>
      <c r="F67" s="16" t="str">
        <f t="shared" ca="1" si="10"/>
        <v/>
      </c>
      <c r="G67" s="16"/>
      <c r="H67" s="22" t="str">
        <f ca="1">IFERROR(__xludf.dummyfunction("iferror(1000+INT(($N$4-(index(split(G67,"":""),1)*60+index(split(G67,"":""),2 )))/0.2+1)*$N$5,"""")"),"")</f>
        <v/>
      </c>
      <c r="I67" s="16" t="str">
        <f t="shared" ca="1" si="11"/>
        <v/>
      </c>
      <c r="J67" s="16" t="str">
        <f t="shared" si="9"/>
        <v/>
      </c>
      <c r="K67" s="16" t="str">
        <f t="shared" si="12"/>
        <v/>
      </c>
      <c r="L67" s="16"/>
    </row>
    <row r="68" spans="1:12" ht="14.5" x14ac:dyDescent="0.35">
      <c r="A68" s="16"/>
      <c r="B68" s="16"/>
      <c r="C68" s="16"/>
      <c r="D68" s="16"/>
      <c r="E68" s="22" t="str">
        <f ca="1">IFERROR(__xludf.dummyfunction("iferror(1000+INT(($N$2-(index(split(D68,"":""),1)*60+index(split(D68,"":""),2 )))/0.2+1)*$N$3,"""")"),"")</f>
        <v/>
      </c>
      <c r="F68" s="16" t="str">
        <f t="shared" ca="1" si="10"/>
        <v/>
      </c>
      <c r="G68" s="16"/>
      <c r="H68" s="22" t="str">
        <f ca="1">IFERROR(__xludf.dummyfunction("iferror(1000+INT(($N$4-(index(split(G68,"":""),1)*60+index(split(G68,"":""),2 )))/0.2+1)*$N$5,"""")"),"")</f>
        <v/>
      </c>
      <c r="I68" s="16" t="str">
        <f t="shared" ca="1" si="11"/>
        <v/>
      </c>
      <c r="J68" s="16" t="str">
        <f t="shared" si="9"/>
        <v/>
      </c>
      <c r="K68" s="16" t="str">
        <f t="shared" si="12"/>
        <v/>
      </c>
      <c r="L68" s="16"/>
    </row>
    <row r="69" spans="1:12" ht="14.5" x14ac:dyDescent="0.35">
      <c r="A69" s="16"/>
      <c r="B69" s="16"/>
      <c r="C69" s="16"/>
      <c r="D69" s="16"/>
      <c r="E69" s="22" t="str">
        <f ca="1">IFERROR(__xludf.dummyfunction("iferror(1000+INT(($N$2-(index(split(D69,"":""),1)*60+index(split(D69,"":""),2 )))/0.2+1)*$N$3,"""")"),"")</f>
        <v/>
      </c>
      <c r="F69" s="16" t="str">
        <f t="shared" ca="1" si="10"/>
        <v/>
      </c>
      <c r="G69" s="16"/>
      <c r="H69" s="22" t="str">
        <f ca="1">IFERROR(__xludf.dummyfunction("iferror(1000+INT(($N$4-(index(split(G69,"":""),1)*60+index(split(G69,"":""),2 )))/0.2+1)*$N$5,"""")"),"")</f>
        <v/>
      </c>
      <c r="I69" s="16" t="str">
        <f t="shared" ca="1" si="11"/>
        <v/>
      </c>
      <c r="J69" s="16" t="str">
        <f t="shared" si="9"/>
        <v/>
      </c>
      <c r="K69" s="16" t="str">
        <f t="shared" si="12"/>
        <v/>
      </c>
      <c r="L69" s="16"/>
    </row>
    <row r="70" spans="1:12" ht="14.5" x14ac:dyDescent="0.35">
      <c r="A70" s="16"/>
      <c r="B70" s="16"/>
      <c r="C70" s="16"/>
      <c r="D70" s="16"/>
      <c r="E70" s="22" t="str">
        <f ca="1">IFERROR(__xludf.dummyfunction("iferror(1000+INT(($N$2-(index(split(D70,"":""),1)*60+index(split(D70,"":""),2 )))/0.2+1)*$N$3,"""")"),"")</f>
        <v/>
      </c>
      <c r="F70" s="16" t="str">
        <f t="shared" ca="1" si="10"/>
        <v/>
      </c>
      <c r="G70" s="16"/>
      <c r="H70" s="22" t="str">
        <f ca="1">IFERROR(__xludf.dummyfunction("iferror(1000+INT(($N$4-(index(split(G70,"":""),1)*60+index(split(G70,"":""),2 )))/0.2+1)*$N$5,"""")"),"")</f>
        <v/>
      </c>
      <c r="I70" s="16" t="str">
        <f t="shared" ca="1" si="11"/>
        <v/>
      </c>
      <c r="J70" s="16" t="str">
        <f t="shared" si="9"/>
        <v/>
      </c>
      <c r="K70" s="16" t="str">
        <f t="shared" si="12"/>
        <v/>
      </c>
      <c r="L70" s="16"/>
    </row>
    <row r="71" spans="1:12" ht="14.5" x14ac:dyDescent="0.35">
      <c r="A71" s="16"/>
      <c r="B71" s="16"/>
      <c r="C71" s="16"/>
      <c r="D71" s="16"/>
      <c r="E71" s="22" t="str">
        <f ca="1">IFERROR(__xludf.dummyfunction("iferror(1000+INT(($N$2-(index(split(D71,"":""),1)*60+index(split(D71,"":""),2 )))/0.2+1)*$N$3,"""")"),"")</f>
        <v/>
      </c>
      <c r="F71" s="16" t="str">
        <f t="shared" ca="1" si="10"/>
        <v/>
      </c>
      <c r="G71" s="16"/>
      <c r="H71" s="22" t="str">
        <f ca="1">IFERROR(__xludf.dummyfunction("iferror(1000+INT(($N$4-(index(split(G71,"":""),1)*60+index(split(G71,"":""),2 )))/0.2+1)*$N$5,"""")"),"")</f>
        <v/>
      </c>
      <c r="I71" s="16" t="str">
        <f t="shared" ca="1" si="11"/>
        <v/>
      </c>
      <c r="J71" s="16" t="str">
        <f t="shared" si="9"/>
        <v/>
      </c>
      <c r="K71" s="16" t="str">
        <f t="shared" si="12"/>
        <v/>
      </c>
      <c r="L71" s="16"/>
    </row>
    <row r="72" spans="1:12" ht="14.5" x14ac:dyDescent="0.35">
      <c r="A72" s="16"/>
      <c r="B72" s="16"/>
      <c r="C72" s="16"/>
      <c r="D72" s="16"/>
      <c r="E72" s="22" t="str">
        <f ca="1">IFERROR(__xludf.dummyfunction("iferror(1000+INT(($N$2-(index(split(D72,"":""),1)*60+index(split(D72,"":""),2 )))/0.2+1)*$N$3,"""")"),"")</f>
        <v/>
      </c>
      <c r="F72" s="16" t="str">
        <f t="shared" ca="1" si="10"/>
        <v/>
      </c>
      <c r="G72" s="16"/>
      <c r="H72" s="22" t="str">
        <f ca="1">IFERROR(__xludf.dummyfunction("iferror(1000+INT(($N$4-(index(split(G72,"":""),1)*60+index(split(G72,"":""),2 )))/0.2+1)*$N$5,"""")"),"")</f>
        <v/>
      </c>
      <c r="I72" s="16" t="str">
        <f t="shared" ca="1" si="11"/>
        <v/>
      </c>
      <c r="J72" s="16" t="str">
        <f t="shared" si="9"/>
        <v/>
      </c>
      <c r="K72" s="16" t="str">
        <f t="shared" si="12"/>
        <v/>
      </c>
      <c r="L72" s="16"/>
    </row>
    <row r="73" spans="1:12" ht="14.5" x14ac:dyDescent="0.35">
      <c r="A73" s="16"/>
      <c r="B73" s="16"/>
      <c r="C73" s="16"/>
      <c r="D73" s="16"/>
      <c r="E73" s="22" t="str">
        <f ca="1">IFERROR(__xludf.dummyfunction("iferror(1000+INT(($N$2-(index(split(D73,"":""),1)*60+index(split(D73,"":""),2 )))/0.2+1)*$N$3,"""")"),"")</f>
        <v/>
      </c>
      <c r="F73" s="16" t="str">
        <f t="shared" ca="1" si="10"/>
        <v/>
      </c>
      <c r="G73" s="16"/>
      <c r="H73" s="22" t="str">
        <f ca="1">IFERROR(__xludf.dummyfunction("iferror(1000+INT(($N$4-(index(split(G73,"":""),1)*60+index(split(G73,"":""),2 )))/0.2+1)*$N$5,"""")"),"")</f>
        <v/>
      </c>
      <c r="I73" s="16" t="str">
        <f t="shared" ca="1" si="11"/>
        <v/>
      </c>
      <c r="J73" s="16" t="str">
        <f t="shared" si="9"/>
        <v/>
      </c>
      <c r="K73" s="16" t="str">
        <f t="shared" si="12"/>
        <v/>
      </c>
      <c r="L73" s="16"/>
    </row>
    <row r="74" spans="1:12" ht="14.5" x14ac:dyDescent="0.35">
      <c r="A74" s="16"/>
      <c r="B74" s="16"/>
      <c r="C74" s="16"/>
      <c r="D74" s="16"/>
      <c r="E74" s="22" t="str">
        <f ca="1">IFERROR(__xludf.dummyfunction("iferror(1000+INT(($N$2-(index(split(D74,"":""),1)*60+index(split(D74,"":""),2 )))/0.2+1)*$N$3,"""")"),"")</f>
        <v/>
      </c>
      <c r="F74" s="16" t="str">
        <f t="shared" ca="1" si="10"/>
        <v/>
      </c>
      <c r="G74" s="16"/>
      <c r="H74" s="22" t="str">
        <f ca="1">IFERROR(__xludf.dummyfunction("iferror(1000+INT(($N$4-(index(split(G74,"":""),1)*60+index(split(G74,"":""),2 )))/0.2+1)*$N$5,"""")"),"")</f>
        <v/>
      </c>
      <c r="I74" s="16" t="str">
        <f t="shared" ca="1" si="11"/>
        <v/>
      </c>
      <c r="J74" s="16" t="str">
        <f t="shared" si="9"/>
        <v/>
      </c>
      <c r="K74" s="16" t="str">
        <f t="shared" si="12"/>
        <v/>
      </c>
      <c r="L74" s="16"/>
    </row>
    <row r="75" spans="1:12" ht="14.5" x14ac:dyDescent="0.35">
      <c r="A75" s="16"/>
      <c r="B75" s="16"/>
      <c r="C75" s="16"/>
      <c r="D75" s="16"/>
      <c r="E75" s="22" t="str">
        <f ca="1">IFERROR(__xludf.dummyfunction("iferror(1000+INT(($N$2-(index(split(D75,"":""),1)*60+index(split(D75,"":""),2 )))/0.2+1)*$N$3,"""")"),"")</f>
        <v/>
      </c>
      <c r="F75" s="16" t="str">
        <f t="shared" ca="1" si="10"/>
        <v/>
      </c>
      <c r="G75" s="16"/>
      <c r="H75" s="22" t="str">
        <f ca="1">IFERROR(__xludf.dummyfunction("iferror(1000+INT(($N$4-(index(split(G75,"":""),1)*60+index(split(G75,"":""),2 )))/0.2+1)*$N$5,"""")"),"")</f>
        <v/>
      </c>
      <c r="I75" s="16" t="str">
        <f t="shared" ca="1" si="11"/>
        <v/>
      </c>
      <c r="J75" s="16" t="str">
        <f t="shared" si="9"/>
        <v/>
      </c>
      <c r="K75" s="16" t="str">
        <f t="shared" si="12"/>
        <v/>
      </c>
      <c r="L75" s="16"/>
    </row>
    <row r="76" spans="1:12" ht="14.5" x14ac:dyDescent="0.35">
      <c r="A76" s="16"/>
      <c r="B76" s="16"/>
      <c r="C76" s="16"/>
      <c r="D76" s="16"/>
      <c r="E76" s="22" t="str">
        <f ca="1">IFERROR(__xludf.dummyfunction("iferror(1000+INT(($N$2-(index(split(D76,"":""),1)*60+index(split(D76,"":""),2 )))/0.2+1)*$N$3,"""")"),"")</f>
        <v/>
      </c>
      <c r="F76" s="16" t="str">
        <f t="shared" ca="1" si="10"/>
        <v/>
      </c>
      <c r="G76" s="16"/>
      <c r="H76" s="22" t="str">
        <f ca="1">IFERROR(__xludf.dummyfunction("iferror(1000+INT(($N$4-(index(split(G76,"":""),1)*60+index(split(G76,"":""),2 )))/0.2+1)*$N$5,"""")"),"")</f>
        <v/>
      </c>
      <c r="I76" s="16" t="str">
        <f t="shared" ca="1" si="11"/>
        <v/>
      </c>
      <c r="J76" s="16" t="str">
        <f t="shared" si="9"/>
        <v/>
      </c>
      <c r="K76" s="16" t="str">
        <f t="shared" si="12"/>
        <v/>
      </c>
      <c r="L76" s="16"/>
    </row>
    <row r="77" spans="1:12" ht="14.5" x14ac:dyDescent="0.35">
      <c r="A77" s="16"/>
      <c r="B77" s="16"/>
      <c r="C77" s="16"/>
      <c r="D77" s="16"/>
      <c r="E77" s="22" t="str">
        <f ca="1">IFERROR(__xludf.dummyfunction("iferror(1000+INT(($N$2-(index(split(D77,"":""),1)*60+index(split(D77,"":""),2 )))/0.2+1)*$N$3,"""")"),"")</f>
        <v/>
      </c>
      <c r="F77" s="16" t="str">
        <f t="shared" ca="1" si="10"/>
        <v/>
      </c>
      <c r="G77" s="16"/>
      <c r="H77" s="22" t="str">
        <f ca="1">IFERROR(__xludf.dummyfunction("iferror(1000+INT(($N$4-(index(split(G77,"":""),1)*60+index(split(G77,"":""),2 )))/0.2+1)*$N$5,"""")"),"")</f>
        <v/>
      </c>
      <c r="I77" s="16" t="str">
        <f t="shared" ca="1" si="11"/>
        <v/>
      </c>
      <c r="J77" s="16" t="str">
        <f t="shared" si="9"/>
        <v/>
      </c>
      <c r="K77" s="16" t="str">
        <f t="shared" si="12"/>
        <v/>
      </c>
      <c r="L77" s="16"/>
    </row>
    <row r="78" spans="1:12" ht="14.5" x14ac:dyDescent="0.35">
      <c r="A78" s="16"/>
      <c r="B78" s="16"/>
      <c r="C78" s="16"/>
      <c r="D78" s="16"/>
      <c r="E78" s="22" t="str">
        <f ca="1">IFERROR(__xludf.dummyfunction("iferror(1000+INT(($N$2-(index(split(D78,"":""),1)*60+index(split(D78,"":""),2 )))/0.2+1)*$N$3,"""")"),"")</f>
        <v/>
      </c>
      <c r="F78" s="16" t="str">
        <f t="shared" ca="1" si="10"/>
        <v/>
      </c>
      <c r="G78" s="16"/>
      <c r="H78" s="22" t="str">
        <f ca="1">IFERROR(__xludf.dummyfunction("iferror(1000+INT(($N$4-(index(split(G78,"":""),1)*60+index(split(G78,"":""),2 )))/0.2+1)*$N$5,"""")"),"")</f>
        <v/>
      </c>
      <c r="I78" s="16" t="str">
        <f t="shared" ca="1" si="11"/>
        <v/>
      </c>
      <c r="J78" s="16" t="str">
        <f t="shared" si="9"/>
        <v/>
      </c>
      <c r="K78" s="16" t="str">
        <f t="shared" si="12"/>
        <v/>
      </c>
      <c r="L78" s="16"/>
    </row>
    <row r="79" spans="1:12" ht="14.5" x14ac:dyDescent="0.35">
      <c r="A79" s="16"/>
      <c r="B79" s="16"/>
      <c r="C79" s="16"/>
      <c r="D79" s="16"/>
      <c r="E79" s="22" t="str">
        <f ca="1">IFERROR(__xludf.dummyfunction("iferror(1000+INT(($N$2-(index(split(D79,"":""),1)*60+index(split(D79,"":""),2 )))/0.2+1)*$N$3,"""")"),"")</f>
        <v/>
      </c>
      <c r="F79" s="16" t="str">
        <f t="shared" ca="1" si="10"/>
        <v/>
      </c>
      <c r="G79" s="16"/>
      <c r="H79" s="22" t="str">
        <f ca="1">IFERROR(__xludf.dummyfunction("iferror(1000+INT(($N$4-(index(split(G79,"":""),1)*60+index(split(G79,"":""),2 )))/0.2+1)*$N$5,"""")"),"")</f>
        <v/>
      </c>
      <c r="I79" s="16" t="str">
        <f t="shared" ca="1" si="11"/>
        <v/>
      </c>
      <c r="J79" s="16" t="str">
        <f t="shared" si="9"/>
        <v/>
      </c>
      <c r="K79" s="16" t="str">
        <f t="shared" si="12"/>
        <v/>
      </c>
      <c r="L79" s="16"/>
    </row>
    <row r="80" spans="1:12" ht="14.5" x14ac:dyDescent="0.35">
      <c r="A80" s="16"/>
      <c r="B80" s="16"/>
      <c r="C80" s="16"/>
      <c r="D80" s="16"/>
      <c r="E80" s="22" t="str">
        <f ca="1">IFERROR(__xludf.dummyfunction("iferror(1000+INT(($N$2-(index(split(D80,"":""),1)*60+index(split(D80,"":""),2 )))/0.2+1)*$N$3,"""")"),"")</f>
        <v/>
      </c>
      <c r="F80" s="16" t="str">
        <f t="shared" ca="1" si="10"/>
        <v/>
      </c>
      <c r="G80" s="16"/>
      <c r="H80" s="22" t="str">
        <f ca="1">IFERROR(__xludf.dummyfunction("iferror(1000+INT(($N$4-(index(split(G80,"":""),1)*60+index(split(G80,"":""),2 )))/0.2+1)*$N$5,"""")"),"")</f>
        <v/>
      </c>
      <c r="I80" s="16" t="str">
        <f t="shared" ca="1" si="11"/>
        <v/>
      </c>
      <c r="J80" s="16" t="str">
        <f t="shared" si="9"/>
        <v/>
      </c>
      <c r="K80" s="16" t="str">
        <f t="shared" si="12"/>
        <v/>
      </c>
      <c r="L80" s="16"/>
    </row>
    <row r="81" spans="1:12" ht="14.5" x14ac:dyDescent="0.35">
      <c r="A81" s="16"/>
      <c r="B81" s="16"/>
      <c r="C81" s="16"/>
      <c r="D81" s="16"/>
      <c r="E81" s="22" t="str">
        <f ca="1">IFERROR(__xludf.dummyfunction("iferror(1000+INT(($N$2-(index(split(D81,"":""),1)*60+index(split(D81,"":""),2 )))/0.2+1)*$N$3,"""")"),"")</f>
        <v/>
      </c>
      <c r="F81" s="16" t="str">
        <f t="shared" ca="1" si="10"/>
        <v/>
      </c>
      <c r="G81" s="16"/>
      <c r="H81" s="22" t="str">
        <f ca="1">IFERROR(__xludf.dummyfunction("iferror(1000+INT(($N$4-(index(split(G81,"":""),1)*60+index(split(G81,"":""),2 )))/0.2+1)*$N$5,"""")"),"")</f>
        <v/>
      </c>
      <c r="I81" s="16" t="str">
        <f t="shared" ca="1" si="11"/>
        <v/>
      </c>
      <c r="J81" s="16" t="str">
        <f t="shared" si="9"/>
        <v/>
      </c>
      <c r="K81" s="16" t="str">
        <f t="shared" si="12"/>
        <v/>
      </c>
      <c r="L81" s="16"/>
    </row>
    <row r="82" spans="1:12" ht="14.5" x14ac:dyDescent="0.35">
      <c r="A82" s="16"/>
      <c r="B82" s="16"/>
      <c r="C82" s="16"/>
      <c r="D82" s="16"/>
      <c r="E82" s="22" t="str">
        <f ca="1">IFERROR(__xludf.dummyfunction("iferror(1000+INT(($N$2-(index(split(D82,"":""),1)*60+index(split(D82,"":""),2 )))/0.2+1)*$N$3,"""")"),"")</f>
        <v/>
      </c>
      <c r="F82" s="16" t="str">
        <f t="shared" ca="1" si="10"/>
        <v/>
      </c>
      <c r="G82" s="16"/>
      <c r="H82" s="22" t="str">
        <f ca="1">IFERROR(__xludf.dummyfunction("iferror(1000+INT(($N$4-(index(split(G82,"":""),1)*60+index(split(G82,"":""),2 )))/0.2+1)*$N$5,"""")"),"")</f>
        <v/>
      </c>
      <c r="I82" s="16" t="str">
        <f t="shared" ca="1" si="11"/>
        <v/>
      </c>
      <c r="J82" s="16" t="str">
        <f t="shared" si="9"/>
        <v/>
      </c>
      <c r="K82" s="16" t="str">
        <f t="shared" si="12"/>
        <v/>
      </c>
      <c r="L82" s="16"/>
    </row>
    <row r="83" spans="1:12" ht="14.5" x14ac:dyDescent="0.35">
      <c r="A83" s="16"/>
      <c r="B83" s="16"/>
      <c r="C83" s="16"/>
      <c r="D83" s="16"/>
      <c r="E83" s="22" t="str">
        <f ca="1">IFERROR(__xludf.dummyfunction("iferror(1000+INT(($N$2-(index(split(D83,"":""),1)*60+index(split(D83,"":""),2 )))/0.2+1)*$N$3,"""")"),"")</f>
        <v/>
      </c>
      <c r="F83" s="16" t="str">
        <f t="shared" ca="1" si="10"/>
        <v/>
      </c>
      <c r="G83" s="16"/>
      <c r="H83" s="22" t="str">
        <f ca="1">IFERROR(__xludf.dummyfunction("iferror(1000+INT(($N$4-(index(split(G83,"":""),1)*60+index(split(G83,"":""),2 )))/0.2+1)*$N$5,"""")"),"")</f>
        <v/>
      </c>
      <c r="I83" s="16" t="str">
        <f t="shared" ca="1" si="11"/>
        <v/>
      </c>
      <c r="J83" s="16" t="str">
        <f t="shared" si="9"/>
        <v/>
      </c>
      <c r="K83" s="16" t="str">
        <f t="shared" si="12"/>
        <v/>
      </c>
      <c r="L83" s="16"/>
    </row>
    <row r="84" spans="1:12" ht="14.5" x14ac:dyDescent="0.35">
      <c r="A84" s="16"/>
      <c r="B84" s="16"/>
      <c r="C84" s="16"/>
      <c r="D84" s="16"/>
      <c r="E84" s="22" t="str">
        <f ca="1">IFERROR(__xludf.dummyfunction("iferror(1000+INT(($N$2-(index(split(D84,"":""),1)*60+index(split(D84,"":""),2 )))/0.2+1)*$N$3,"""")"),"")</f>
        <v/>
      </c>
      <c r="F84" s="16" t="str">
        <f t="shared" ca="1" si="10"/>
        <v/>
      </c>
      <c r="G84" s="16"/>
      <c r="H84" s="22" t="str">
        <f ca="1">IFERROR(__xludf.dummyfunction("iferror(1000+INT(($N$4-(index(split(G84,"":""),1)*60+index(split(G84,"":""),2 )))/0.2+1)*$N$5,"""")"),"")</f>
        <v/>
      </c>
      <c r="I84" s="16" t="str">
        <f t="shared" ca="1" si="11"/>
        <v/>
      </c>
      <c r="J84" s="16" t="str">
        <f t="shared" si="9"/>
        <v/>
      </c>
      <c r="K84" s="16" t="str">
        <f t="shared" si="12"/>
        <v/>
      </c>
      <c r="L84" s="16"/>
    </row>
    <row r="85" spans="1:12" ht="14.5" x14ac:dyDescent="0.35">
      <c r="A85" s="16"/>
      <c r="B85" s="16"/>
      <c r="C85" s="16"/>
      <c r="D85" s="16"/>
      <c r="E85" s="22" t="str">
        <f ca="1">IFERROR(__xludf.dummyfunction("iferror(1000+INT(($N$2-(index(split(D85,"":""),1)*60+index(split(D85,"":""),2 )))/0.2+1)*$N$3,"""")"),"")</f>
        <v/>
      </c>
      <c r="F85" s="16" t="str">
        <f t="shared" ca="1" si="10"/>
        <v/>
      </c>
      <c r="G85" s="16"/>
      <c r="H85" s="22" t="str">
        <f ca="1">IFERROR(__xludf.dummyfunction("iferror(1000+INT(($N$4-(index(split(G85,"":""),1)*60+index(split(G85,"":""),2 )))/0.2+1)*$N$5,"""")"),"")</f>
        <v/>
      </c>
      <c r="I85" s="16" t="str">
        <f t="shared" ca="1" si="11"/>
        <v/>
      </c>
      <c r="J85" s="16" t="str">
        <f t="shared" si="9"/>
        <v/>
      </c>
      <c r="K85" s="16" t="str">
        <f t="shared" si="12"/>
        <v/>
      </c>
      <c r="L85" s="16"/>
    </row>
    <row r="86" spans="1:12" ht="14.5" x14ac:dyDescent="0.35">
      <c r="A86" s="16"/>
      <c r="B86" s="16"/>
      <c r="C86" s="16"/>
      <c r="D86" s="16"/>
      <c r="E86" s="22" t="str">
        <f ca="1">IFERROR(__xludf.dummyfunction("iferror(1000+INT(($N$2-(index(split(D86,"":""),1)*60+index(split(D86,"":""),2 )))/0.2+1)*$N$3,"""")"),"")</f>
        <v/>
      </c>
      <c r="F86" s="16" t="str">
        <f t="shared" ca="1" si="10"/>
        <v/>
      </c>
      <c r="G86" s="16"/>
      <c r="H86" s="22" t="str">
        <f ca="1">IFERROR(__xludf.dummyfunction("iferror(1000+INT(($N$4-(index(split(G86,"":""),1)*60+index(split(G86,"":""),2 )))/0.2+1)*$N$5,"""")"),"")</f>
        <v/>
      </c>
      <c r="I86" s="16" t="str">
        <f t="shared" ca="1" si="11"/>
        <v/>
      </c>
      <c r="J86" s="16" t="str">
        <f t="shared" si="9"/>
        <v/>
      </c>
      <c r="K86" s="16" t="str">
        <f t="shared" si="12"/>
        <v/>
      </c>
      <c r="L86" s="16"/>
    </row>
    <row r="87" spans="1:12" ht="14.5" x14ac:dyDescent="0.35">
      <c r="A87" s="16"/>
      <c r="B87" s="16"/>
      <c r="C87" s="16"/>
      <c r="D87" s="16"/>
      <c r="E87" s="22" t="str">
        <f ca="1">IFERROR(__xludf.dummyfunction("iferror(1000+INT(($N$2-(index(split(D87,"":""),1)*60+index(split(D87,"":""),2 )))/0.2+1)*$N$3,"""")"),"")</f>
        <v/>
      </c>
      <c r="F87" s="16" t="str">
        <f t="shared" ca="1" si="10"/>
        <v/>
      </c>
      <c r="G87" s="16"/>
      <c r="H87" s="22" t="str">
        <f ca="1">IFERROR(__xludf.dummyfunction("iferror(1000+INT(($N$4-(index(split(G87,"":""),1)*60+index(split(G87,"":""),2 )))/0.2+1)*$N$5,"""")"),"")</f>
        <v/>
      </c>
      <c r="I87" s="16" t="str">
        <f t="shared" ca="1" si="11"/>
        <v/>
      </c>
      <c r="J87" s="16" t="str">
        <f t="shared" si="9"/>
        <v/>
      </c>
      <c r="K87" s="16" t="str">
        <f t="shared" si="12"/>
        <v/>
      </c>
      <c r="L87" s="16"/>
    </row>
    <row r="88" spans="1:12" ht="14.5" x14ac:dyDescent="0.35">
      <c r="A88" s="16"/>
      <c r="B88" s="16"/>
      <c r="C88" s="16"/>
      <c r="D88" s="16"/>
      <c r="E88" s="22" t="str">
        <f ca="1">IFERROR(__xludf.dummyfunction("iferror(1000+INT(($N$2-(index(split(D88,"":""),1)*60+index(split(D88,"":""),2 )))/0.2+1)*$N$3,"""")"),"")</f>
        <v/>
      </c>
      <c r="F88" s="16" t="str">
        <f t="shared" ca="1" si="10"/>
        <v/>
      </c>
      <c r="G88" s="16"/>
      <c r="H88" s="22" t="str">
        <f ca="1">IFERROR(__xludf.dummyfunction("iferror(1000+INT(($N$4-(index(split(G88,"":""),1)*60+index(split(G88,"":""),2 )))/0.2+1)*$N$5,"""")"),"")</f>
        <v/>
      </c>
      <c r="I88" s="16" t="str">
        <f t="shared" ca="1" si="11"/>
        <v/>
      </c>
      <c r="J88" s="16" t="str">
        <f t="shared" si="9"/>
        <v/>
      </c>
      <c r="K88" s="16" t="str">
        <f t="shared" si="12"/>
        <v/>
      </c>
      <c r="L88" s="16"/>
    </row>
    <row r="89" spans="1:12" ht="14.5" x14ac:dyDescent="0.35">
      <c r="A89" s="16"/>
      <c r="B89" s="16"/>
      <c r="C89" s="16"/>
      <c r="D89" s="16"/>
      <c r="E89" s="22" t="str">
        <f ca="1">IFERROR(__xludf.dummyfunction("iferror(1000+INT(($N$2-(index(split(D89,"":""),1)*60+index(split(D89,"":""),2 )))/0.2+1)*$N$3,"""")"),"")</f>
        <v/>
      </c>
      <c r="F89" s="16" t="str">
        <f t="shared" ca="1" si="10"/>
        <v/>
      </c>
      <c r="G89" s="16"/>
      <c r="H89" s="22" t="str">
        <f ca="1">IFERROR(__xludf.dummyfunction("iferror(1000+INT(($N$4-(index(split(G89,"":""),1)*60+index(split(G89,"":""),2 )))/0.2+1)*$N$5,"""")"),"")</f>
        <v/>
      </c>
      <c r="I89" s="16" t="str">
        <f t="shared" ca="1" si="11"/>
        <v/>
      </c>
      <c r="J89" s="16" t="str">
        <f t="shared" ref="J89:J100" si="13">IF(AND(D89="", G89=""), "", E89+H89)</f>
        <v/>
      </c>
      <c r="K89" s="16" t="str">
        <f t="shared" si="12"/>
        <v/>
      </c>
      <c r="L89" s="16"/>
    </row>
    <row r="90" spans="1:12" ht="14.5" x14ac:dyDescent="0.35">
      <c r="A90" s="16"/>
      <c r="B90" s="16"/>
      <c r="C90" s="16"/>
      <c r="D90" s="16"/>
      <c r="E90" s="22" t="str">
        <f ca="1">IFERROR(__xludf.dummyfunction("iferror(1000+INT(($N$2-(index(split(D90,"":""),1)*60+index(split(D90,"":""),2 )))/0.2+1)*$N$3,"""")"),"")</f>
        <v/>
      </c>
      <c r="F90" s="16" t="str">
        <f t="shared" ca="1" si="10"/>
        <v/>
      </c>
      <c r="G90" s="16"/>
      <c r="H90" s="22" t="str">
        <f ca="1">IFERROR(__xludf.dummyfunction("iferror(1000+INT(($N$4-(index(split(G90,"":""),1)*60+index(split(G90,"":""),2 )))/0.2+1)*$N$5,"""")"),"")</f>
        <v/>
      </c>
      <c r="I90" s="16" t="str">
        <f t="shared" ca="1" si="11"/>
        <v/>
      </c>
      <c r="J90" s="16" t="str">
        <f t="shared" si="13"/>
        <v/>
      </c>
      <c r="K90" s="16" t="str">
        <f t="shared" si="12"/>
        <v/>
      </c>
      <c r="L90" s="16"/>
    </row>
    <row r="91" spans="1:12" ht="14.5" x14ac:dyDescent="0.35">
      <c r="A91" s="16"/>
      <c r="B91" s="16"/>
      <c r="C91" s="16"/>
      <c r="D91" s="16"/>
      <c r="E91" s="22" t="str">
        <f ca="1">IFERROR(__xludf.dummyfunction("iferror(1000+INT(($N$2-(index(split(D91,"":""),1)*60+index(split(D91,"":""),2 )))/0.2+1)*$N$3,"""")"),"")</f>
        <v/>
      </c>
      <c r="F91" s="16" t="str">
        <f t="shared" ca="1" si="10"/>
        <v/>
      </c>
      <c r="G91" s="16"/>
      <c r="H91" s="22" t="str">
        <f ca="1">IFERROR(__xludf.dummyfunction("iferror(1000+INT(($N$4-(index(split(G91,"":""),1)*60+index(split(G91,"":""),2 )))/0.2+1)*$N$5,"""")"),"")</f>
        <v/>
      </c>
      <c r="I91" s="16" t="str">
        <f t="shared" ca="1" si="11"/>
        <v/>
      </c>
      <c r="J91" s="16" t="str">
        <f t="shared" si="13"/>
        <v/>
      </c>
      <c r="K91" s="16" t="str">
        <f t="shared" si="12"/>
        <v/>
      </c>
      <c r="L91" s="16"/>
    </row>
    <row r="92" spans="1:12" ht="14.5" x14ac:dyDescent="0.35">
      <c r="A92" s="16"/>
      <c r="B92" s="16"/>
      <c r="C92" s="16"/>
      <c r="D92" s="16"/>
      <c r="E92" s="22" t="str">
        <f ca="1">IFERROR(__xludf.dummyfunction("iferror(1000+INT(($N$2-(index(split(D92,"":""),1)*60+index(split(D92,"":""),2 )))/0.2+1)*$N$3,"""")"),"")</f>
        <v/>
      </c>
      <c r="F92" s="16" t="str">
        <f t="shared" ca="1" si="10"/>
        <v/>
      </c>
      <c r="G92" s="16"/>
      <c r="H92" s="22" t="str">
        <f ca="1">IFERROR(__xludf.dummyfunction("iferror(1000+INT(($N$4-(index(split(G92,"":""),1)*60+index(split(G92,"":""),2 )))/0.2+1)*$N$5,"""")"),"")</f>
        <v/>
      </c>
      <c r="I92" s="16" t="str">
        <f t="shared" ca="1" si="11"/>
        <v/>
      </c>
      <c r="J92" s="16" t="str">
        <f t="shared" si="13"/>
        <v/>
      </c>
      <c r="K92" s="16" t="str">
        <f t="shared" si="12"/>
        <v/>
      </c>
      <c r="L92" s="16"/>
    </row>
    <row r="93" spans="1:12" ht="14.5" x14ac:dyDescent="0.35">
      <c r="A93" s="16"/>
      <c r="B93" s="16"/>
      <c r="C93" s="16"/>
      <c r="D93" s="16"/>
      <c r="E93" s="22" t="str">
        <f ca="1">IFERROR(__xludf.dummyfunction("iferror(1000+INT(($N$2-(index(split(D93,"":""),1)*60+index(split(D93,"":""),2 )))/0.2+1)*$N$3,"""")"),"")</f>
        <v/>
      </c>
      <c r="F93" s="16" t="str">
        <f t="shared" ca="1" si="10"/>
        <v/>
      </c>
      <c r="G93" s="16"/>
      <c r="H93" s="22" t="str">
        <f ca="1">IFERROR(__xludf.dummyfunction("iferror(1000+INT(($N$4-(index(split(G93,"":""),1)*60+index(split(G93,"":""),2 )))/0.2+1)*$N$5,"""")"),"")</f>
        <v/>
      </c>
      <c r="I93" s="16" t="str">
        <f t="shared" ca="1" si="11"/>
        <v/>
      </c>
      <c r="J93" s="16" t="str">
        <f t="shared" si="13"/>
        <v/>
      </c>
      <c r="K93" s="16" t="str">
        <f t="shared" si="12"/>
        <v/>
      </c>
      <c r="L93" s="16"/>
    </row>
    <row r="94" spans="1:12" ht="14.5" x14ac:dyDescent="0.35">
      <c r="A94" s="16"/>
      <c r="B94" s="16"/>
      <c r="C94" s="16"/>
      <c r="D94" s="16"/>
      <c r="E94" s="22" t="str">
        <f ca="1">IFERROR(__xludf.dummyfunction("iferror(1000+INT(($N$2-(index(split(D94,"":""),1)*60+index(split(D94,"":""),2 )))/0.2+1)*$N$3,"""")"),"")</f>
        <v/>
      </c>
      <c r="F94" s="16" t="str">
        <f t="shared" ca="1" si="10"/>
        <v/>
      </c>
      <c r="G94" s="16"/>
      <c r="H94" s="22" t="str">
        <f ca="1">IFERROR(__xludf.dummyfunction("iferror(1000+INT(($N$4-(index(split(G94,"":""),1)*60+index(split(G94,"":""),2 )))/0.2+1)*$N$5,"""")"),"")</f>
        <v/>
      </c>
      <c r="I94" s="16" t="str">
        <f t="shared" ca="1" si="11"/>
        <v/>
      </c>
      <c r="J94" s="16" t="str">
        <f t="shared" si="13"/>
        <v/>
      </c>
      <c r="K94" s="16" t="str">
        <f t="shared" si="12"/>
        <v/>
      </c>
      <c r="L94" s="16"/>
    </row>
    <row r="95" spans="1:12" ht="14.5" x14ac:dyDescent="0.35">
      <c r="A95" s="16"/>
      <c r="B95" s="16"/>
      <c r="C95" s="16"/>
      <c r="D95" s="16"/>
      <c r="E95" s="22" t="str">
        <f ca="1">IFERROR(__xludf.dummyfunction("iferror(1000+INT(($N$2-(index(split(D95,"":""),1)*60+index(split(D95,"":""),2 )))/0.2+1)*$N$3,"""")"),"")</f>
        <v/>
      </c>
      <c r="F95" s="16" t="str">
        <f t="shared" ca="1" si="10"/>
        <v/>
      </c>
      <c r="G95" s="16"/>
      <c r="H95" s="22" t="str">
        <f ca="1">IFERROR(__xludf.dummyfunction("iferror(1000+INT(($N$4-(index(split(G95,"":""),1)*60+index(split(G95,"":""),2 )))/0.2+1)*$N$5,"""")"),"")</f>
        <v/>
      </c>
      <c r="I95" s="16" t="str">
        <f t="shared" ca="1" si="11"/>
        <v/>
      </c>
      <c r="J95" s="16" t="str">
        <f t="shared" si="13"/>
        <v/>
      </c>
      <c r="K95" s="16" t="str">
        <f t="shared" si="12"/>
        <v/>
      </c>
      <c r="L95" s="16"/>
    </row>
    <row r="96" spans="1:12" ht="14.5" x14ac:dyDescent="0.35">
      <c r="A96" s="16"/>
      <c r="B96" s="16"/>
      <c r="C96" s="16"/>
      <c r="D96" s="16"/>
      <c r="E96" s="22" t="str">
        <f ca="1">IFERROR(__xludf.dummyfunction("iferror(1000+INT(($N$2-(index(split(D96,"":""),1)*60+index(split(D96,"":""),2 )))/0.2+1)*$N$3,"""")"),"")</f>
        <v/>
      </c>
      <c r="F96" s="16" t="str">
        <f t="shared" ca="1" si="10"/>
        <v/>
      </c>
      <c r="G96" s="16"/>
      <c r="H96" s="22" t="str">
        <f ca="1">IFERROR(__xludf.dummyfunction("iferror(1000+INT(($N$4-(index(split(G96,"":""),1)*60+index(split(G96,"":""),2 )))/0.2+1)*$N$5,"""")"),"")</f>
        <v/>
      </c>
      <c r="I96" s="16" t="str">
        <f t="shared" ca="1" si="11"/>
        <v/>
      </c>
      <c r="J96" s="16" t="str">
        <f t="shared" si="13"/>
        <v/>
      </c>
      <c r="K96" s="16" t="str">
        <f t="shared" si="12"/>
        <v/>
      </c>
      <c r="L96" s="16"/>
    </row>
    <row r="97" spans="1:12" ht="14.5" x14ac:dyDescent="0.35">
      <c r="A97" s="16"/>
      <c r="B97" s="16"/>
      <c r="C97" s="16"/>
      <c r="D97" s="16"/>
      <c r="E97" s="22" t="str">
        <f ca="1">IFERROR(__xludf.dummyfunction("iferror(1000+INT(($N$2-(index(split(D97,"":""),1)*60+index(split(D97,"":""),2 )))/0.2+1)*$N$3,"""")"),"")</f>
        <v/>
      </c>
      <c r="F97" s="16" t="str">
        <f t="shared" ca="1" si="10"/>
        <v/>
      </c>
      <c r="G97" s="16"/>
      <c r="H97" s="22" t="str">
        <f ca="1">IFERROR(__xludf.dummyfunction("iferror(1000+INT(($N$4-(index(split(G97,"":""),1)*60+index(split(G97,"":""),2 )))/0.2+1)*$N$5,"""")"),"")</f>
        <v/>
      </c>
      <c r="I97" s="16" t="str">
        <f t="shared" ca="1" si="11"/>
        <v/>
      </c>
      <c r="J97" s="16" t="str">
        <f t="shared" si="13"/>
        <v/>
      </c>
      <c r="K97" s="16" t="str">
        <f t="shared" si="12"/>
        <v/>
      </c>
      <c r="L97" s="16"/>
    </row>
    <row r="98" spans="1:12" ht="14.5" x14ac:dyDescent="0.35">
      <c r="A98" s="16"/>
      <c r="B98" s="16"/>
      <c r="C98" s="16"/>
      <c r="D98" s="16"/>
      <c r="E98" s="22" t="str">
        <f ca="1">IFERROR(__xludf.dummyfunction("iferror(1000+INT(($N$2-(index(split(D98,"":""),1)*60+index(split(D98,"":""),2 )))/0.2+1)*$N$3,"""")"),"")</f>
        <v/>
      </c>
      <c r="F98" s="16" t="str">
        <f t="shared" ref="F98:F129" ca="1" si="14">IFERROR(_xlfn.RANK.EQ(E98,E:E),"")</f>
        <v/>
      </c>
      <c r="G98" s="16"/>
      <c r="H98" s="22" t="str">
        <f ca="1">IFERROR(__xludf.dummyfunction("iferror(1000+INT(($N$4-(index(split(G98,"":""),1)*60+index(split(G98,"":""),2 )))/0.2+1)*$N$5,"""")"),"")</f>
        <v/>
      </c>
      <c r="I98" s="16" t="str">
        <f t="shared" ref="I98:I129" ca="1" si="15">IFERROR(_xlfn.RANK.EQ(H98,H:H),"")</f>
        <v/>
      </c>
      <c r="J98" s="16" t="str">
        <f t="shared" si="13"/>
        <v/>
      </c>
      <c r="K98" s="16" t="str">
        <f t="shared" ref="K98:K129" si="16">IFERROR(_xlfn.RANK.EQ(J98,J:J),"")</f>
        <v/>
      </c>
      <c r="L98" s="16"/>
    </row>
    <row r="99" spans="1:12" ht="14.5" x14ac:dyDescent="0.35">
      <c r="A99" s="16"/>
      <c r="B99" s="16"/>
      <c r="C99" s="16"/>
      <c r="D99" s="16"/>
      <c r="E99" s="22" t="str">
        <f ca="1">IFERROR(__xludf.dummyfunction("iferror(1000+INT(($N$2-(index(split(D99,"":""),1)*60+index(split(D99,"":""),2 )))/0.2+1)*$N$3,"""")"),"")</f>
        <v/>
      </c>
      <c r="F99" s="16" t="str">
        <f t="shared" ca="1" si="14"/>
        <v/>
      </c>
      <c r="G99" s="16"/>
      <c r="H99" s="22" t="str">
        <f ca="1">IFERROR(__xludf.dummyfunction("iferror(1000+INT(($N$4-(index(split(G99,"":""),1)*60+index(split(G99,"":""),2 )))/0.2+1)*$N$5,"""")"),"")</f>
        <v/>
      </c>
      <c r="I99" s="16" t="str">
        <f t="shared" ca="1" si="15"/>
        <v/>
      </c>
      <c r="J99" s="16" t="str">
        <f t="shared" si="13"/>
        <v/>
      </c>
      <c r="K99" s="16" t="str">
        <f t="shared" si="16"/>
        <v/>
      </c>
      <c r="L99" s="16"/>
    </row>
    <row r="100" spans="1:12" ht="14.5" x14ac:dyDescent="0.35">
      <c r="A100" s="16"/>
      <c r="B100" s="16"/>
      <c r="C100" s="16"/>
      <c r="D100" s="16"/>
      <c r="E100" s="22" t="str">
        <f ca="1">IFERROR(__xludf.dummyfunction("iferror(1000+INT(($N$2-(index(split(D100,"":""),1)*60+index(split(D100,"":""),2 )))/0.2+1)*$N$3,"""")"),"")</f>
        <v/>
      </c>
      <c r="F100" s="16" t="str">
        <f t="shared" ca="1" si="14"/>
        <v/>
      </c>
      <c r="G100" s="16"/>
      <c r="H100" s="22" t="str">
        <f ca="1">IFERROR(__xludf.dummyfunction("iferror(1000+INT(($N$4-(index(split(G100,"":""),1)*60+index(split(G100,"":""),2 )))/0.2+1)*$N$5,"""")"),"")</f>
        <v/>
      </c>
      <c r="I100" s="16" t="str">
        <f t="shared" ca="1" si="15"/>
        <v/>
      </c>
      <c r="J100" s="16" t="str">
        <f t="shared" si="13"/>
        <v/>
      </c>
      <c r="K100" s="16" t="str">
        <f t="shared" si="16"/>
        <v/>
      </c>
      <c r="L100" s="16"/>
    </row>
    <row r="101" spans="1:12" ht="14.5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4.5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4.5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4.5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4.5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4.5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4.5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4.5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4.5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4.5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4.5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4.5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4.5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4.5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4.5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4.5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4.5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4.5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4.5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4.5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4.5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4.5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4.5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4.5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4.5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4.5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4.5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4.5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4.5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4.5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4.5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4.5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4.5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4.5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4.5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4.5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4.5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4.5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4.5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4.5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4.5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4.5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4.5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4.5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4.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4.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4.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4.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4.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4.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4.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4.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4.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4.5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4.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4.5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4.5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4.5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4.5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4.5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4.5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4.5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ht="14.5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4.5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ht="14.5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ht="14.5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4.5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4.5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5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4.5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4.5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4.5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4.5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4.5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4.5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4.5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4.5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4.5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4.5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4.5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4.5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4.5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4.5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4.5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4.5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4.5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4.5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4.5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4.5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4.5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4.5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4.5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4.5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4.5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4.5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4.5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4.5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4.5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4.5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4.5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4.5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4.5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4.5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4.5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4.5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4.5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4.5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4.5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4.5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4.5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4.5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4.5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4.5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4.5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4.5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4.5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4.5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4.5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4.5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4.5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4.5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4.5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4.5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4.5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4.5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4.5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4.5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4.5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4.5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4.5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4.5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4.5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4.5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5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4.5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4.5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4.5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4.5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4.5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4.5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4.5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4.5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4.5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4.5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4.5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4.5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4.5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4.5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4.5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4.5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4.5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4.5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4.5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4.5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4.5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4.5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4.5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4.5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4.5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4.5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4.5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4.5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4.5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4.5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4.5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4.5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4.5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4.5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4.5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4.5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4.5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4.5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4.5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4.5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4.5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4.5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4.5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4.5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4.5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4.5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4.5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4.5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4.5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4.5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4.5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4.5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4.5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4.5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4.5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4.5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4.5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4.5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4.5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4.5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4.5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4.5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4.5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4.5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4.5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4.5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4.5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4.5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4.5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4.5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4.5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4.5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4.5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4.5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4.5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4.5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4.5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4.5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4.5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4.5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4.5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4.5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4.5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4.5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4.5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4.5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4.5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4.5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4.5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4.5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4.5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4.5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4.5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4.5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4.5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4.5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4.5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4.5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4.5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4.5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4.5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4.5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4.5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4.5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4.5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4.5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4.5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4.5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4.5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4.5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4.5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4.5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4.5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4.5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4.5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4.5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4.5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4.5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4.5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4.5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4.5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4.5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4.5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4.5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4.5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4.5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4.5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4.5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4.5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4.5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4.5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4.5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4.5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4.5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4.5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4.5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4.5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4.5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4.5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4.5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4.5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4.5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4.5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4.5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4.5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ht="14.5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ht="14.5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ht="14.5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ht="14.5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ht="14.5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ht="14.5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ht="14.5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ht="14.5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ht="14.5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ht="14.5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ht="14.5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ht="14.5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ht="14.5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ht="14.5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ht="14.5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ht="14.5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ht="14.5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ht="14.5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ht="14.5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ht="14.5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ht="14.5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ht="14.5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ht="14.5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ht="14.5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ht="14.5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ht="14.5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ht="14.5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ht="14.5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ht="14.5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ht="14.5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ht="14.5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ht="14.5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ht="14.5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ht="14.5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ht="14.5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ht="14.5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ht="14.5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ht="14.5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ht="14.5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ht="14.5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ht="14.5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ht="14.5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ht="14.5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ht="14.5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ht="14.5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ht="14.5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ht="14.5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ht="14.5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ht="14.5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ht="14.5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ht="14.5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ht="14.5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ht="14.5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ht="14.5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ht="14.5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ht="14.5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ht="14.5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ht="14.5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 ht="14.5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 ht="14.5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 ht="14.5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 ht="14.5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 ht="14.5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 ht="14.5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 ht="14.5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 ht="14.5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 ht="14.5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 ht="14.5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 ht="14.5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 ht="14.5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 ht="14.5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 ht="14.5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 ht="14.5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 ht="14.5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 ht="14.5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 ht="14.5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 ht="14.5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 ht="14.5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 ht="14.5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 ht="14.5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 ht="14.5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 ht="14.5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 ht="14.5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 ht="14.5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 ht="14.5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 ht="14.5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 ht="14.5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 ht="14.5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 ht="14.5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 ht="14.5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 ht="14.5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 ht="14.5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 ht="14.5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 ht="14.5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 ht="14.5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 ht="14.5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 ht="14.5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 ht="14.5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 ht="14.5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 ht="14.5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 ht="14.5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 ht="14.5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 ht="14.5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 ht="14.5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 ht="14.5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 ht="14.5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 ht="14.5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 ht="14.5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 ht="14.5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 ht="14.5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 ht="14.5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 ht="14.5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 ht="14.5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 ht="14.5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 ht="14.5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 ht="14.5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 ht="14.5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 ht="14.5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 ht="14.5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 ht="14.5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 ht="14.5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 ht="14.5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 ht="14.5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 ht="14.5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 ht="14.5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 ht="14.5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 ht="14.5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 ht="14.5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 ht="14.5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 ht="14.5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 ht="14.5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 ht="14.5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 ht="14.5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 ht="14.5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 ht="14.5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 ht="14.5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 ht="14.5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 ht="14.5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 ht="14.5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 ht="14.5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 ht="14.5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ht="14.5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ht="14.5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ht="14.5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ht="14.5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ht="14.5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ht="14.5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ht="14.5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ht="14.5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 ht="14.5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 ht="14.5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 ht="14.5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 ht="14.5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 ht="14.5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 ht="14.5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 ht="14.5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 ht="14.5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 ht="14.5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 ht="14.5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 ht="14.5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 ht="14.5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 ht="14.5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 ht="14.5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 ht="14.5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 ht="14.5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 ht="14.5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 ht="14.5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 ht="14.5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 ht="14.5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 ht="14.5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 ht="14.5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 ht="14.5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 ht="14.5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 ht="14.5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 ht="14.5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 ht="14.5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 ht="14.5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 ht="14.5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 ht="14.5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 ht="14.5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 ht="14.5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 ht="14.5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 ht="14.5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 ht="14.5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 ht="14.5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 ht="14.5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 ht="14.5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 ht="14.5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 ht="14.5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 ht="14.5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 ht="14.5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 ht="14.5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 ht="14.5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 ht="14.5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 ht="14.5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 ht="14.5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 ht="14.5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 ht="14.5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 ht="14.5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 ht="14.5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 ht="14.5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 ht="14.5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 ht="14.5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 ht="14.5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 ht="14.5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 ht="14.5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 ht="14.5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 ht="14.5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 ht="14.5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 ht="14.5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 ht="14.5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 ht="14.5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 ht="14.5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 ht="14.5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 ht="14.5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 ht="14.5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 ht="14.5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 ht="14.5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 ht="14.5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 ht="14.5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 ht="14.5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 ht="14.5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 ht="14.5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 ht="14.5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 ht="14.5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 ht="14.5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 ht="14.5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 ht="14.5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 ht="14.5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 ht="14.5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 ht="14.5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 ht="14.5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 ht="14.5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 ht="14.5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 ht="14.5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 ht="14.5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 ht="14.5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 ht="14.5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 ht="14.5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 ht="14.5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 ht="14.5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 ht="14.5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 ht="14.5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 ht="14.5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 ht="14.5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 ht="14.5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 ht="14.5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 ht="14.5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 ht="14.5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 ht="14.5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 ht="14.5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 ht="14.5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 ht="14.5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 ht="14.5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 ht="14.5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 ht="14.5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 ht="14.5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 ht="14.5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 ht="14.5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 ht="14.5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 ht="14.5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 ht="14.5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 ht="14.5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 ht="14.5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 ht="14.5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 ht="14.5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 ht="14.5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 ht="14.5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 ht="14.5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 ht="14.5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 ht="14.5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 ht="14.5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 ht="14.5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 ht="14.5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 ht="14.5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 ht="14.5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 ht="14.5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 ht="14.5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 ht="14.5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 ht="14.5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 ht="14.5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 ht="14.5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 ht="14.5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 ht="14.5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 ht="14.5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 ht="14.5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 ht="14.5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 ht="14.5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 ht="14.5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 ht="14.5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 ht="14.5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 ht="14.5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 ht="14.5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 ht="14.5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 ht="14.5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 ht="14.5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 ht="14.5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 ht="14.5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 ht="14.5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 ht="14.5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 ht="14.5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 ht="14.5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 ht="14.5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 ht="14.5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 ht="14.5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 ht="14.5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 ht="14.5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 ht="14.5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 ht="14.5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 ht="14.5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 ht="14.5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 ht="14.5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 ht="14.5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 ht="14.5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 ht="14.5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 ht="14.5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 ht="14.5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 ht="14.5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 ht="14.5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 ht="14.5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 ht="14.5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 ht="14.5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 ht="14.5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 ht="14.5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 ht="14.5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 ht="14.5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 ht="14.5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 ht="14.5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 ht="14.5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 ht="14.5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 ht="14.5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 ht="14.5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 ht="14.5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 ht="14.5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 ht="14.5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 ht="14.5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 ht="14.5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 ht="14.5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 ht="14.5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 ht="14.5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 ht="14.5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 ht="14.5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 ht="14.5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 ht="14.5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 ht="14.5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 ht="14.5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 ht="14.5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 ht="14.5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 ht="14.5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 ht="14.5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 ht="14.5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 ht="14.5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 ht="14.5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 ht="14.5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 ht="14.5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 ht="14.5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 ht="14.5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 ht="14.5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 ht="14.5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 ht="14.5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 ht="14.5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 ht="14.5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 ht="14.5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 ht="14.5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 ht="14.5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 ht="14.5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 ht="14.5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 ht="14.5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 ht="14.5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 ht="14.5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 ht="14.5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 ht="14.5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 ht="14.5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 ht="14.5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 ht="14.5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 ht="14.5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 ht="14.5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 ht="14.5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 ht="14.5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 ht="14.5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 ht="14.5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 ht="14.5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 ht="14.5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 ht="14.5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 ht="14.5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 ht="14.5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 ht="14.5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 ht="14.5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 ht="14.5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 ht="14.5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 ht="14.5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 ht="14.5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 ht="14.5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 ht="14.5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 ht="14.5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 ht="14.5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 ht="14.5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 ht="14.5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 ht="14.5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 ht="14.5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 ht="14.5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 ht="14.5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 ht="14.5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 ht="14.5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 ht="14.5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 ht="14.5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 ht="14.5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 ht="14.5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 ht="14.5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 ht="14.5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 ht="14.5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 ht="14.5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 ht="14.5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 ht="14.5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 ht="14.5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 ht="14.5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 ht="14.5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 ht="14.5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 ht="14.5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 ht="14.5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 ht="14.5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 ht="14.5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 ht="14.5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 ht="14.5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 ht="14.5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 ht="14.5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 ht="14.5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 ht="14.5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 ht="14.5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 ht="14.5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 ht="14.5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 ht="14.5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 ht="14.5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 ht="14.5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 ht="14.5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 ht="14.5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 ht="14.5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 ht="14.5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 ht="14.5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 ht="14.5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 ht="14.5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 ht="14.5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 ht="14.5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 ht="14.5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 ht="14.5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 ht="14.5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 ht="14.5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 ht="14.5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 ht="14.5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 ht="14.5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 ht="14.5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 ht="14.5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 ht="14.5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 ht="14.5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 ht="14.5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 ht="14.5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 ht="14.5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 ht="14.5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 ht="14.5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 ht="14.5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 ht="14.5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 ht="14.5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 ht="14.5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 ht="14.5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 ht="14.5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 ht="14.5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 ht="14.5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 ht="14.5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 ht="14.5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 ht="14.5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 ht="14.5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 ht="14.5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 ht="14.5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 ht="14.5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 ht="14.5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 ht="14.5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 ht="14.5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 ht="14.5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 ht="14.5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 ht="14.5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 ht="14.5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 ht="14.5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 ht="14.5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 ht="14.5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 ht="14.5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 ht="14.5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 ht="14.5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 ht="14.5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 ht="14.5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 ht="14.5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 ht="14.5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 ht="14.5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 ht="14.5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 ht="14.5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 ht="14.5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 ht="14.5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 ht="14.5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 ht="14.5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 ht="14.5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 ht="14.5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 ht="14.5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 ht="14.5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 ht="14.5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 ht="14.5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 ht="14.5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 ht="14.5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 ht="14.5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 ht="14.5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 ht="14.5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 ht="14.5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 ht="14.5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 ht="14.5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 ht="14.5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 ht="14.5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 ht="14.5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 ht="14.5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 ht="14.5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 ht="14.5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 ht="14.5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 ht="14.5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 ht="14.5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 ht="14.5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 ht="14.5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 ht="14.5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 ht="14.5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 ht="14.5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 ht="14.5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 ht="14.5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 ht="14.5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 ht="14.5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 ht="14.5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 ht="14.5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 ht="14.5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 ht="14.5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 ht="14.5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 ht="14.5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 ht="14.5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 ht="14.5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 ht="14.5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 ht="14.5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 ht="14.5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 ht="14.5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 ht="14.5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 ht="14.5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 ht="14.5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 ht="14.5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</sheetData>
  <sortState xmlns:xlrd2="http://schemas.microsoft.com/office/spreadsheetml/2017/richdata2" ref="A2:L9">
    <sortCondition ref="K2:K9"/>
  </sortState>
  <printOptions horizontalCentered="1" gridLines="1"/>
  <pageMargins left="0.7" right="0.7" top="1.1437499999999998" bottom="1.1437499999999998" header="0.75" footer="0.75"/>
  <pageSetup paperSize="0" fitToWidth="0" fitToHeight="0" pageOrder="overThenDown" orientation="landscape" horizontalDpi="0" verticalDpi="0" copies="0"/>
  <headerFooter alignWithMargins="0"/>
  <ignoredErrors>
    <ignoredError sqref="J2:J21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'Scoring tables'!$A$2:$A$57</xm:f>
          </x14:formula1>
          <xm:sqref>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workbookViewId="0">
      <selection activeCell="C12" sqref="C12"/>
    </sheetView>
  </sheetViews>
  <sheetFormatPr defaultRowHeight="15.75" customHeight="1" x14ac:dyDescent="0.35"/>
  <cols>
    <col min="1" max="1" width="10.4140625" style="25" customWidth="1"/>
    <col min="2" max="2" width="23.58203125" style="25" customWidth="1"/>
    <col min="3" max="3" width="27.6640625" style="25" customWidth="1"/>
    <col min="4" max="11" width="8.4140625" style="25" customWidth="1"/>
    <col min="12" max="1024" width="11.6640625" style="25" customWidth="1"/>
    <col min="1025" max="16384" width="8.6640625" style="25"/>
  </cols>
  <sheetData>
    <row r="1" spans="1:14" ht="30.75" customHeight="1" x14ac:dyDescent="0.35">
      <c r="A1" s="20" t="s">
        <v>0</v>
      </c>
      <c r="B1" s="20" t="s">
        <v>26</v>
      </c>
      <c r="C1" s="20" t="s">
        <v>27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7</v>
      </c>
    </row>
    <row r="2" spans="1:14" ht="14.5" x14ac:dyDescent="0.35">
      <c r="A2" s="16">
        <f ca="1">IFERROR(__xludf.dummyfunction("""COMPUTED_VALUE"""),24)</f>
        <v>24</v>
      </c>
      <c r="B2" s="5" t="str">
        <f ca="1">IFERROR(__xludf.dummyfunction("""COMPUTED_VALUE"""),"William Wiggans")</f>
        <v>William Wiggans</v>
      </c>
      <c r="C2" s="5" t="str">
        <f ca="1">IFERROR(__xludf.dummyfunction("""COMPUTED_VALUE"""),"Westwood Primary School")</f>
        <v>Westwood Primary School</v>
      </c>
      <c r="D2" s="16" t="s">
        <v>52</v>
      </c>
      <c r="E2" s="22">
        <f ca="1">IFERROR(__xludf.dummyfunction("iferror(1000+INT(($N$2-(index(split(D5,"":""),1)*60+index(split(D5,"":""),2 )))/0.2+1)*$N$3,"""")"),1030)</f>
        <v>1030</v>
      </c>
      <c r="F2" s="16">
        <f ca="1">IFERROR(_xlfn.RANK.EQ(E2,E:E),"")</f>
        <v>2</v>
      </c>
      <c r="G2" s="16" t="s">
        <v>53</v>
      </c>
      <c r="H2" s="22">
        <f ca="1">IFERROR(__xludf.dummyfunction("iferror(1000+INT(($N$4-(index(split(G5,"":""),1)*60+index(split(G5,"":""),2 )))/0.2+1)*$N$5,"""")"),1162)</f>
        <v>1162</v>
      </c>
      <c r="I2" s="16">
        <f ca="1">IFERROR(_xlfn.RANK.EQ(H2,H:H),"")</f>
        <v>1</v>
      </c>
      <c r="J2" s="22">
        <f ca="1">IF(AND(D2="", G2=""), "", E2+H2)</f>
        <v>2192</v>
      </c>
      <c r="K2" s="16">
        <f ca="1">IFERROR(_xlfn.RANK.EQ(J2,J:J),"")</f>
        <v>1</v>
      </c>
      <c r="L2" s="16"/>
      <c r="M2" s="21" t="s">
        <v>38</v>
      </c>
      <c r="N2" s="26">
        <f>VLOOKUP($L$1,'Scoring tables'!$A$2:$K$57,10,0)</f>
        <v>21</v>
      </c>
    </row>
    <row r="3" spans="1:14" ht="14.5" x14ac:dyDescent="0.35">
      <c r="A3" s="16">
        <f ca="1">IFERROR(__xludf.dummyfunction("Query(Entries!$A$2:$U$1205,""select A,C,D where B = '""&amp;L1&amp;""'"")"),21)</f>
        <v>21</v>
      </c>
      <c r="B3" s="5" t="str">
        <f ca="1">IFERROR(__xludf.dummyfunction("""COMPUTED_VALUE"""),"Joshua Gunn")</f>
        <v>Joshua Gunn</v>
      </c>
      <c r="C3" s="5" t="str">
        <f ca="1">IFERROR(__xludf.dummyfunction("""COMPUTED_VALUE"""),"St Peters CE Primary School Heysham")</f>
        <v>St Peters CE Primary School Heysham</v>
      </c>
      <c r="D3" s="16" t="s">
        <v>48</v>
      </c>
      <c r="E3" s="22">
        <f ca="1">IFERROR(__xludf.dummyfunction("iferror(1000+INT(($N$2-(index(split(D2,"":""),1)*60+index(split(D2,"":""),2 )))/0.2+1)*$N$3,"""")"),1048)</f>
        <v>1048</v>
      </c>
      <c r="F3" s="16">
        <f ca="1">IFERROR(_xlfn.RANK.EQ(E3,E:E),"")</f>
        <v>1</v>
      </c>
      <c r="G3" s="22" t="s">
        <v>49</v>
      </c>
      <c r="H3" s="22">
        <f ca="1">IFERROR(__xludf.dummyfunction("iferror(1000+INT(($N$4-(index(split(G2,"":""),1)*60+index(split(G2,"":""),2 )))/0.2+1)*$N$5,"""")"),730)</f>
        <v>730</v>
      </c>
      <c r="I3" s="16">
        <f ca="1">IFERROR(_xlfn.RANK.EQ(H3,H:H),"")</f>
        <v>3</v>
      </c>
      <c r="J3" s="22">
        <f t="shared" ref="J3:J23" ca="1" si="0">IF(AND(D3="", G3=""), "", E3+H3)</f>
        <v>1778</v>
      </c>
      <c r="K3" s="16">
        <f ca="1">IFERROR(_xlfn.RANK.EQ(J3,J:J),"")</f>
        <v>2</v>
      </c>
      <c r="L3" s="16"/>
      <c r="M3" s="21" t="s">
        <v>39</v>
      </c>
      <c r="N3" s="26">
        <f>VLOOKUP($L$1,'Scoring tables'!$A$2:$K$57,11,0)</f>
        <v>6</v>
      </c>
    </row>
    <row r="4" spans="1:14" ht="14.5" x14ac:dyDescent="0.35">
      <c r="A4" s="16">
        <f ca="1">IFERROR(__xludf.dummyfunction("""COMPUTED_VALUE"""),22)</f>
        <v>22</v>
      </c>
      <c r="B4" s="5" t="str">
        <f ca="1">IFERROR(__xludf.dummyfunction("""COMPUTED_VALUE"""),"Orin Clegg")</f>
        <v>Orin Clegg</v>
      </c>
      <c r="C4" s="5" t="str">
        <f ca="1">IFERROR(__xludf.dummyfunction("""COMPUTED_VALUE"""),"St Peters CE Primary School Heysham")</f>
        <v>St Peters CE Primary School Heysham</v>
      </c>
      <c r="D4" s="16" t="s">
        <v>50</v>
      </c>
      <c r="E4" s="22">
        <f ca="1">IFERROR(__xludf.dummyfunction("iferror(1000+INT(($N$2-(index(split(D3,"":""),1)*60+index(split(D3,"":""),2 )))/0.2+1)*$N$3,"""")"),970)</f>
        <v>970</v>
      </c>
      <c r="F4" s="16">
        <f ca="1">IFERROR(_xlfn.RANK.EQ(E4,E:E),"")</f>
        <v>3</v>
      </c>
      <c r="G4" s="16" t="s">
        <v>51</v>
      </c>
      <c r="H4" s="22">
        <f ca="1">IFERROR(__xludf.dummyfunction("iferror(1000+INT(($N$4-(index(split(G3,"":""),1)*60+index(split(G3,"":""),2 )))/0.2+1)*$N$5,"""")"),790)</f>
        <v>790</v>
      </c>
      <c r="I4" s="16">
        <f ca="1">IFERROR(_xlfn.RANK.EQ(H4,H:H),"")</f>
        <v>2</v>
      </c>
      <c r="J4" s="22">
        <f t="shared" ca="1" si="0"/>
        <v>1760</v>
      </c>
      <c r="K4" s="16">
        <f ca="1">IFERROR(_xlfn.RANK.EQ(J4,J:J),"")</f>
        <v>3</v>
      </c>
      <c r="L4" s="16"/>
      <c r="M4" s="21" t="s">
        <v>31</v>
      </c>
      <c r="N4" s="26">
        <f>VLOOKUP($L$1,'Scoring tables'!$A$2:$K$57,5,0)</f>
        <v>85</v>
      </c>
    </row>
    <row r="5" spans="1:14" ht="14.5" x14ac:dyDescent="0.35">
      <c r="A5" s="16">
        <f ca="1">IFERROR(__xludf.dummyfunction("""COMPUTED_VALUE"""),25)</f>
        <v>25</v>
      </c>
      <c r="B5" s="5" t="str">
        <f ca="1">IFERROR(__xludf.dummyfunction("""COMPUTED_VALUE"""),"Joseph Lancaster")</f>
        <v>Joseph Lancaster</v>
      </c>
      <c r="C5" s="5" t="str">
        <f ca="1">IFERROR(__xludf.dummyfunction("""COMPUTED_VALUE"""),"Aspull Church Primary School")</f>
        <v>Aspull Church Primary School</v>
      </c>
      <c r="D5" s="16" t="s">
        <v>54</v>
      </c>
      <c r="E5" s="22">
        <f ca="1">IFERROR(__xludf.dummyfunction("iferror(1000+INT(($N$2-(index(split(D6,"":""),1)*60+index(split(D6,"":""),2 )))/0.2+1)*$N$3,"""")"),964)</f>
        <v>964</v>
      </c>
      <c r="F5" s="16">
        <f ca="1">IFERROR(_xlfn.RANK.EQ(E5,E:E),"")</f>
        <v>4</v>
      </c>
      <c r="G5" s="16" t="s">
        <v>55</v>
      </c>
      <c r="H5" s="22">
        <f ca="1">IFERROR(__xludf.dummyfunction("iferror(1000+INT(($N$4-(index(split(G6,"":""),1)*60+index(split(G6,"":""),2 )))/0.2+1)*$N$5,"""")"),544)</f>
        <v>544</v>
      </c>
      <c r="I5" s="16">
        <f ca="1">IFERROR(_xlfn.RANK.EQ(H5,H:H),"")</f>
        <v>4</v>
      </c>
      <c r="J5" s="22">
        <f t="shared" ca="1" si="0"/>
        <v>1508</v>
      </c>
      <c r="K5" s="16">
        <f ca="1">IFERROR(_xlfn.RANK.EQ(J5,J:J),"")</f>
        <v>4</v>
      </c>
      <c r="L5" s="16"/>
      <c r="M5" s="21" t="s">
        <v>32</v>
      </c>
      <c r="N5" s="26">
        <f>VLOOKUP($L$1,'Scoring tables'!$A$2:$K$57,6,0)</f>
        <v>6</v>
      </c>
    </row>
    <row r="6" spans="1:14" ht="14.5" x14ac:dyDescent="0.35">
      <c r="A6" s="28">
        <f ca="1">IFERROR(__xludf.dummyfunction("""COMPUTED_VALUE"""),23)</f>
        <v>23</v>
      </c>
      <c r="B6" s="29" t="str">
        <f ca="1">IFERROR(__xludf.dummyfunction("""COMPUTED_VALUE"""),"Oliver Bromley-Walsh")</f>
        <v>Oliver Bromley-Walsh</v>
      </c>
      <c r="C6" s="29" t="str">
        <f ca="1">IFERROR(__xludf.dummyfunction("""COMPUTED_VALUE"""),"Runnymede St Edwards School")</f>
        <v>Runnymede St Edwards School</v>
      </c>
      <c r="D6" s="28"/>
      <c r="E6" s="30" t="str">
        <f ca="1">IFERROR(__xludf.dummyfunction("iferror(1000+INT(($N$2-(index(split(D4,"":""),1)*60+index(split(D4,"":""),2 )))/0.2+1)*$N$3,"""")"),"")</f>
        <v/>
      </c>
      <c r="F6" s="28" t="str">
        <f ca="1">IFERROR(_xlfn.RANK.EQ(E6,E:E),"")</f>
        <v/>
      </c>
      <c r="G6" s="28"/>
      <c r="H6" s="30" t="str">
        <f ca="1">IFERROR(__xludf.dummyfunction("iferror(1000+INT(($N$4-(index(split(G4,"":""),1)*60+index(split(G4,"":""),2 )))/0.2+1)*$N$5,"""")"),"")</f>
        <v/>
      </c>
      <c r="I6" s="28" t="str">
        <f ca="1">IFERROR(_xlfn.RANK.EQ(H6,H:H),"")</f>
        <v/>
      </c>
      <c r="J6" s="30" t="str">
        <f t="shared" si="0"/>
        <v/>
      </c>
      <c r="K6" s="28" t="s">
        <v>444</v>
      </c>
      <c r="L6" s="16"/>
    </row>
    <row r="7" spans="1:14" ht="14.5" x14ac:dyDescent="0.35">
      <c r="A7" s="16"/>
      <c r="B7" s="16"/>
      <c r="C7" s="16"/>
      <c r="D7" s="16"/>
      <c r="E7" s="22" t="str">
        <f ca="1">IFERROR(__xludf.dummyfunction("iferror(1000+INT(($N$2-(index(split(D7,"":""),1)*60+index(split(D7,"":""),2 )))/0.2+1)*$N$3,"""")"),"")</f>
        <v/>
      </c>
      <c r="F7" s="16" t="str">
        <f t="shared" ref="F2:F33" ca="1" si="1">IFERROR(_xlfn.RANK.EQ(E7,E:E),"")</f>
        <v/>
      </c>
      <c r="G7" s="16"/>
      <c r="H7" s="22" t="str">
        <f ca="1">IFERROR(__xludf.dummyfunction("iferror(1000+INT(($N$4-(index(split(G7,"":""),1)*60+index(split(G7,"":""),2 )))/0.2+1)*$N$5,"""")"),"")</f>
        <v/>
      </c>
      <c r="I7" s="16" t="str">
        <f t="shared" ref="I2:I33" ca="1" si="2">IFERROR(_xlfn.RANK.EQ(H7,H:H),"")</f>
        <v/>
      </c>
      <c r="J7" s="22" t="str">
        <f t="shared" si="0"/>
        <v/>
      </c>
      <c r="K7" s="16" t="str">
        <f t="shared" ref="K2:K33" si="3">IFERROR(_xlfn.RANK.EQ(J7,J:J),"")</f>
        <v/>
      </c>
      <c r="L7" s="16"/>
    </row>
    <row r="8" spans="1:14" ht="14.5" x14ac:dyDescent="0.35">
      <c r="A8" s="16"/>
      <c r="B8" s="16"/>
      <c r="C8" s="16"/>
      <c r="D8" s="23"/>
      <c r="E8" s="22" t="str">
        <f ca="1">IFERROR(__xludf.dummyfunction("iferror(1000+INT(($N$2-(index(split(D8,"":""),1)*60+index(split(D8,"":""),2 )))/0.2+1)*$N$3,"""")"),"")</f>
        <v/>
      </c>
      <c r="F8" s="16" t="str">
        <f t="shared" ca="1" si="1"/>
        <v/>
      </c>
      <c r="G8" s="16"/>
      <c r="H8" s="22" t="str">
        <f ca="1">IFERROR(__xludf.dummyfunction("iferror(1000+INT(($N$4-(index(split(G8,"":""),1)*60+index(split(G8,"":""),2 )))/0.2+1)*$N$5,"""")"),"")</f>
        <v/>
      </c>
      <c r="I8" s="16" t="str">
        <f t="shared" ca="1" si="2"/>
        <v/>
      </c>
      <c r="J8" s="22" t="str">
        <f t="shared" si="0"/>
        <v/>
      </c>
      <c r="K8" s="16" t="str">
        <f t="shared" si="3"/>
        <v/>
      </c>
      <c r="L8" s="16"/>
    </row>
    <row r="9" spans="1:14" ht="14.5" x14ac:dyDescent="0.35">
      <c r="A9" s="16"/>
      <c r="B9" s="16"/>
      <c r="C9" s="16"/>
      <c r="D9" s="16"/>
      <c r="E9" s="22" t="str">
        <f ca="1">IFERROR(__xludf.dummyfunction("iferror(1000+INT(($N$2-(index(split(D9,"":""),1)*60+index(split(D9,"":""),2 )))/0.2+1)*$N$3,"""")"),"")</f>
        <v/>
      </c>
      <c r="F9" s="16" t="str">
        <f t="shared" ca="1" si="1"/>
        <v/>
      </c>
      <c r="G9" s="16"/>
      <c r="H9" s="22" t="str">
        <f ca="1">IFERROR(__xludf.dummyfunction("iferror(1000+INT(($N$4-(index(split(G9,"":""),1)*60+index(split(G9,"":""),2 )))/0.2+1)*$N$5,"""")"),"")</f>
        <v/>
      </c>
      <c r="I9" s="16" t="str">
        <f t="shared" ca="1" si="2"/>
        <v/>
      </c>
      <c r="J9" s="22" t="str">
        <f t="shared" si="0"/>
        <v/>
      </c>
      <c r="K9" s="16" t="str">
        <f t="shared" si="3"/>
        <v/>
      </c>
      <c r="L9" s="16"/>
    </row>
    <row r="10" spans="1:14" ht="14.5" x14ac:dyDescent="0.35">
      <c r="A10" s="16"/>
      <c r="B10" s="16"/>
      <c r="C10" s="16"/>
      <c r="D10" s="16"/>
      <c r="E10" s="22" t="str">
        <f ca="1">IFERROR(__xludf.dummyfunction("iferror(1000+INT(($N$2-(index(split(D10,"":""),1)*60+index(split(D10,"":""),2 )))/0.2+1)*$N$3,"""")"),"")</f>
        <v/>
      </c>
      <c r="F10" s="16" t="str">
        <f t="shared" ca="1" si="1"/>
        <v/>
      </c>
      <c r="G10" s="16"/>
      <c r="H10" s="22" t="str">
        <f ca="1">IFERROR(__xludf.dummyfunction("iferror(1000+INT(($N$4-(index(split(G10,"":""),1)*60+index(split(G10,"":""),2 )))/0.2+1)*$N$5,"""")"),"")</f>
        <v/>
      </c>
      <c r="I10" s="16" t="str">
        <f t="shared" ca="1" si="2"/>
        <v/>
      </c>
      <c r="J10" s="22" t="str">
        <f t="shared" si="0"/>
        <v/>
      </c>
      <c r="K10" s="16" t="str">
        <f t="shared" si="3"/>
        <v/>
      </c>
      <c r="L10" s="16"/>
    </row>
    <row r="11" spans="1:14" ht="14.5" x14ac:dyDescent="0.35">
      <c r="A11" s="16"/>
      <c r="B11" s="16"/>
      <c r="C11" s="16"/>
      <c r="D11" s="16"/>
      <c r="E11" s="22" t="str">
        <f ca="1">IFERROR(__xludf.dummyfunction("iferror(1000+INT(($N$2-(index(split(D11,"":""),1)*60+index(split(D11,"":""),2 )))/0.2+1)*$N$3,"""")"),"")</f>
        <v/>
      </c>
      <c r="F11" s="16" t="str">
        <f t="shared" ca="1" si="1"/>
        <v/>
      </c>
      <c r="G11" s="16"/>
      <c r="H11" s="22" t="str">
        <f ca="1">IFERROR(__xludf.dummyfunction("iferror(1000+INT(($N$4-(index(split(G11,"":""),1)*60+index(split(G11,"":""),2 )))/0.2+1)*$N$5,"""")"),"")</f>
        <v/>
      </c>
      <c r="I11" s="16" t="str">
        <f t="shared" ca="1" si="2"/>
        <v/>
      </c>
      <c r="J11" s="22" t="str">
        <f t="shared" si="0"/>
        <v/>
      </c>
      <c r="K11" s="16" t="str">
        <f t="shared" si="3"/>
        <v/>
      </c>
      <c r="L11" s="16"/>
    </row>
    <row r="12" spans="1:14" ht="14.5" x14ac:dyDescent="0.35">
      <c r="A12" s="16"/>
      <c r="B12" s="16"/>
      <c r="C12" s="16"/>
      <c r="D12" s="16"/>
      <c r="E12" s="22" t="str">
        <f ca="1">IFERROR(__xludf.dummyfunction("iferror(1000+INT(($N$2-(index(split(D12,"":""),1)*60+index(split(D12,"":""),2 )))/0.2+1)*$N$3,"""")"),"")</f>
        <v/>
      </c>
      <c r="F12" s="16" t="str">
        <f t="shared" ca="1" si="1"/>
        <v/>
      </c>
      <c r="G12" s="16"/>
      <c r="H12" s="22" t="str">
        <f ca="1">IFERROR(__xludf.dummyfunction("iferror(1000+INT(($N$4-(index(split(G12,"":""),1)*60+index(split(G12,"":""),2 )))/0.2+1)*$N$5,"""")"),"")</f>
        <v/>
      </c>
      <c r="I12" s="16" t="str">
        <f t="shared" ca="1" si="2"/>
        <v/>
      </c>
      <c r="J12" s="22" t="str">
        <f t="shared" si="0"/>
        <v/>
      </c>
      <c r="K12" s="16" t="str">
        <f t="shared" si="3"/>
        <v/>
      </c>
      <c r="L12" s="16"/>
    </row>
    <row r="13" spans="1:14" ht="14.5" x14ac:dyDescent="0.35">
      <c r="A13" s="16"/>
      <c r="B13" s="16"/>
      <c r="C13" s="16"/>
      <c r="D13" s="16"/>
      <c r="E13" s="22" t="str">
        <f ca="1">IFERROR(__xludf.dummyfunction("iferror(1000+INT(($N$2-(index(split(D13,"":""),1)*60+index(split(D13,"":""),2 )))/0.2+1)*$N$3,"""")"),"")</f>
        <v/>
      </c>
      <c r="F13" s="16" t="str">
        <f t="shared" ca="1" si="1"/>
        <v/>
      </c>
      <c r="G13" s="16"/>
      <c r="H13" s="22" t="str">
        <f ca="1">IFERROR(__xludf.dummyfunction("iferror(1000+INT(($N$4-(index(split(G13,"":""),1)*60+index(split(G13,"":""),2 )))/0.2+1)*$N$5,"""")"),"")</f>
        <v/>
      </c>
      <c r="I13" s="16" t="str">
        <f t="shared" ca="1" si="2"/>
        <v/>
      </c>
      <c r="J13" s="22" t="str">
        <f t="shared" si="0"/>
        <v/>
      </c>
      <c r="K13" s="16" t="str">
        <f t="shared" si="3"/>
        <v/>
      </c>
      <c r="L13" s="16"/>
    </row>
    <row r="14" spans="1:14" ht="14.5" x14ac:dyDescent="0.35">
      <c r="A14" s="16"/>
      <c r="B14" s="16"/>
      <c r="C14" s="16"/>
      <c r="D14" s="16"/>
      <c r="E14" s="22" t="str">
        <f ca="1">IFERROR(__xludf.dummyfunction("iferror(1000+INT(($N$2-(index(split(D14,"":""),1)*60+index(split(D14,"":""),2 )))/0.2+1)*$N$3,"""")"),"")</f>
        <v/>
      </c>
      <c r="F14" s="16" t="str">
        <f t="shared" ca="1" si="1"/>
        <v/>
      </c>
      <c r="G14" s="16"/>
      <c r="H14" s="22" t="str">
        <f ca="1">IFERROR(__xludf.dummyfunction("iferror(1000+INT(($N$4-(index(split(G14,"":""),1)*60+index(split(G14,"":""),2 )))/0.2+1)*$N$5,"""")"),"")</f>
        <v/>
      </c>
      <c r="I14" s="16" t="str">
        <f t="shared" ca="1" si="2"/>
        <v/>
      </c>
      <c r="J14" s="22" t="str">
        <f t="shared" si="0"/>
        <v/>
      </c>
      <c r="K14" s="16" t="str">
        <f t="shared" si="3"/>
        <v/>
      </c>
      <c r="L14" s="16"/>
    </row>
    <row r="15" spans="1:14" ht="14.5" x14ac:dyDescent="0.35">
      <c r="A15" s="16"/>
      <c r="B15" s="16"/>
      <c r="C15" s="16"/>
      <c r="D15" s="16"/>
      <c r="E15" s="22" t="str">
        <f ca="1">IFERROR(__xludf.dummyfunction("iferror(1000+INT(($N$2-(index(split(D15,"":""),1)*60+index(split(D15,"":""),2 )))/0.2+1)*$N$3,"""")"),"")</f>
        <v/>
      </c>
      <c r="F15" s="16" t="str">
        <f t="shared" ca="1" si="1"/>
        <v/>
      </c>
      <c r="G15" s="16"/>
      <c r="H15" s="22" t="str">
        <f ca="1">IFERROR(__xludf.dummyfunction("iferror(1000+INT(($N$4-(index(split(G15,"":""),1)*60+index(split(G15,"":""),2 )))/0.2+1)*$N$5,"""")"),"")</f>
        <v/>
      </c>
      <c r="I15" s="16" t="str">
        <f t="shared" ca="1" si="2"/>
        <v/>
      </c>
      <c r="J15" s="22" t="str">
        <f t="shared" si="0"/>
        <v/>
      </c>
      <c r="K15" s="16" t="str">
        <f t="shared" si="3"/>
        <v/>
      </c>
      <c r="L15" s="16"/>
    </row>
    <row r="16" spans="1:14" ht="14.5" x14ac:dyDescent="0.35">
      <c r="A16" s="16"/>
      <c r="B16" s="16"/>
      <c r="C16" s="16"/>
      <c r="D16" s="16"/>
      <c r="E16" s="22" t="str">
        <f ca="1">IFERROR(__xludf.dummyfunction("iferror(1000+INT(($N$2-(index(split(D16,"":""),1)*60+index(split(D16,"":""),2 )))/0.2+1)*$N$3,"""")"),"")</f>
        <v/>
      </c>
      <c r="F16" s="16" t="str">
        <f t="shared" ca="1" si="1"/>
        <v/>
      </c>
      <c r="G16" s="16"/>
      <c r="H16" s="22" t="str">
        <f ca="1">IFERROR(__xludf.dummyfunction("iferror(1000+INT(($N$4-(index(split(G16,"":""),1)*60+index(split(G16,"":""),2 )))/0.2+1)*$N$5,"""")"),"")</f>
        <v/>
      </c>
      <c r="I16" s="16" t="str">
        <f t="shared" ca="1" si="2"/>
        <v/>
      </c>
      <c r="J16" s="22" t="str">
        <f t="shared" si="0"/>
        <v/>
      </c>
      <c r="K16" s="16" t="str">
        <f t="shared" si="3"/>
        <v/>
      </c>
      <c r="L16" s="16"/>
    </row>
    <row r="17" spans="1:12" ht="14.5" x14ac:dyDescent="0.35">
      <c r="A17" s="16"/>
      <c r="B17" s="16"/>
      <c r="C17" s="16"/>
      <c r="D17" s="16"/>
      <c r="E17" s="22" t="str">
        <f ca="1">IFERROR(__xludf.dummyfunction("iferror(1000+INT(($N$2-(index(split(D17,"":""),1)*60+index(split(D17,"":""),2 )))/0.2+1)*$N$3,"""")"),"")</f>
        <v/>
      </c>
      <c r="F17" s="16" t="str">
        <f t="shared" ca="1" si="1"/>
        <v/>
      </c>
      <c r="G17" s="16"/>
      <c r="H17" s="22" t="str">
        <f ca="1">IFERROR(__xludf.dummyfunction("iferror(1000+INT(($N$4-(index(split(G17,"":""),1)*60+index(split(G17,"":""),2 )))/0.2+1)*$N$5,"""")"),"")</f>
        <v/>
      </c>
      <c r="I17" s="16" t="str">
        <f t="shared" ca="1" si="2"/>
        <v/>
      </c>
      <c r="J17" s="22" t="str">
        <f t="shared" si="0"/>
        <v/>
      </c>
      <c r="K17" s="16" t="str">
        <f t="shared" si="3"/>
        <v/>
      </c>
      <c r="L17" s="16"/>
    </row>
    <row r="18" spans="1:12" ht="14.5" x14ac:dyDescent="0.35">
      <c r="A18" s="16"/>
      <c r="B18" s="16"/>
      <c r="C18" s="16"/>
      <c r="D18" s="16"/>
      <c r="E18" s="22" t="str">
        <f ca="1">IFERROR(__xludf.dummyfunction("iferror(1000+INT(($N$2-(index(split(D18,"":""),1)*60+index(split(D18,"":""),2 )))/0.2+1)*$N$3,"""")"),"")</f>
        <v/>
      </c>
      <c r="F18" s="16" t="str">
        <f t="shared" ca="1" si="1"/>
        <v/>
      </c>
      <c r="G18" s="16"/>
      <c r="H18" s="22" t="str">
        <f ca="1">IFERROR(__xludf.dummyfunction("iferror(1000+INT(($N$4-(index(split(G18,"":""),1)*60+index(split(G18,"":""),2 )))/0.2+1)*$N$5,"""")"),"")</f>
        <v/>
      </c>
      <c r="I18" s="16" t="str">
        <f t="shared" ca="1" si="2"/>
        <v/>
      </c>
      <c r="J18" s="22" t="str">
        <f t="shared" si="0"/>
        <v/>
      </c>
      <c r="K18" s="16" t="str">
        <f t="shared" si="3"/>
        <v/>
      </c>
      <c r="L18" s="16"/>
    </row>
    <row r="19" spans="1:12" ht="14.5" x14ac:dyDescent="0.35">
      <c r="A19" s="16"/>
      <c r="B19" s="16"/>
      <c r="C19" s="16"/>
      <c r="D19" s="16"/>
      <c r="E19" s="22" t="str">
        <f ca="1">IFERROR(__xludf.dummyfunction("iferror(1000+INT(($N$2-(index(split(D19,"":""),1)*60+index(split(D19,"":""),2 )))/0.2+1)*$N$3,"""")"),"")</f>
        <v/>
      </c>
      <c r="F19" s="16" t="str">
        <f t="shared" ca="1" si="1"/>
        <v/>
      </c>
      <c r="G19" s="16"/>
      <c r="H19" s="22" t="str">
        <f ca="1">IFERROR(__xludf.dummyfunction("iferror(1000+INT(($N$4-(index(split(G19,"":""),1)*60+index(split(G19,"":""),2 )))/0.2+1)*$N$5,"""")"),"")</f>
        <v/>
      </c>
      <c r="I19" s="16" t="str">
        <f t="shared" ca="1" si="2"/>
        <v/>
      </c>
      <c r="J19" s="22" t="str">
        <f t="shared" si="0"/>
        <v/>
      </c>
      <c r="K19" s="16" t="str">
        <f t="shared" si="3"/>
        <v/>
      </c>
      <c r="L19" s="16"/>
    </row>
    <row r="20" spans="1:12" ht="14.5" x14ac:dyDescent="0.35">
      <c r="A20" s="16"/>
      <c r="B20" s="16"/>
      <c r="C20" s="16"/>
      <c r="D20" s="16"/>
      <c r="E20" s="22" t="str">
        <f ca="1">IFERROR(__xludf.dummyfunction("iferror(1000+INT(($N$2-(index(split(D20,"":""),1)*60+index(split(D20,"":""),2 )))/0.2+1)*$N$3,"""")"),"")</f>
        <v/>
      </c>
      <c r="F20" s="16" t="str">
        <f t="shared" ca="1" si="1"/>
        <v/>
      </c>
      <c r="G20" s="16"/>
      <c r="H20" s="22" t="str">
        <f ca="1">IFERROR(__xludf.dummyfunction("iferror(1000+INT(($N$4-(index(split(G20,"":""),1)*60+index(split(G20,"":""),2 )))/0.2+1)*$N$5,"""")"),"")</f>
        <v/>
      </c>
      <c r="I20" s="16" t="str">
        <f t="shared" ca="1" si="2"/>
        <v/>
      </c>
      <c r="J20" s="22" t="str">
        <f t="shared" si="0"/>
        <v/>
      </c>
      <c r="K20" s="16" t="str">
        <f t="shared" si="3"/>
        <v/>
      </c>
      <c r="L20" s="16"/>
    </row>
    <row r="21" spans="1:12" ht="14.5" x14ac:dyDescent="0.35">
      <c r="A21" s="16"/>
      <c r="B21" s="16"/>
      <c r="C21" s="16"/>
      <c r="D21" s="16"/>
      <c r="E21" s="22" t="str">
        <f ca="1">IFERROR(__xludf.dummyfunction("iferror(1000+INT(($N$2-(index(split(D21,"":""),1)*60+index(split(D21,"":""),2 )))/0.2+1)*$N$3,"""")"),"")</f>
        <v/>
      </c>
      <c r="F21" s="16" t="str">
        <f t="shared" ca="1" si="1"/>
        <v/>
      </c>
      <c r="G21" s="16"/>
      <c r="H21" s="22" t="str">
        <f ca="1">IFERROR(__xludf.dummyfunction("iferror(1000+INT(($N$4-(index(split(G21,"":""),1)*60+index(split(G21,"":""),2 )))/0.2+1)*$N$5,"""")"),"")</f>
        <v/>
      </c>
      <c r="I21" s="16" t="str">
        <f t="shared" ca="1" si="2"/>
        <v/>
      </c>
      <c r="J21" s="22" t="str">
        <f t="shared" si="0"/>
        <v/>
      </c>
      <c r="K21" s="16" t="str">
        <f t="shared" si="3"/>
        <v/>
      </c>
      <c r="L21" s="16"/>
    </row>
    <row r="22" spans="1:12" ht="14.5" x14ac:dyDescent="0.35">
      <c r="A22" s="16"/>
      <c r="B22" s="16"/>
      <c r="C22" s="16"/>
      <c r="D22" s="16"/>
      <c r="E22" s="22" t="str">
        <f ca="1">IFERROR(__xludf.dummyfunction("iferror(1000+INT(($N$2-(index(split(D22,"":""),1)*60+index(split(D22,"":""),2 )))/0.2+1)*$N$3,"""")"),"")</f>
        <v/>
      </c>
      <c r="F22" s="16" t="str">
        <f t="shared" ca="1" si="1"/>
        <v/>
      </c>
      <c r="G22" s="16"/>
      <c r="H22" s="22" t="str">
        <f ca="1">IFERROR(__xludf.dummyfunction("iferror(1000+INT(($N$4-(index(split(G22,"":""),1)*60+index(split(G22,"":""),2 )))/0.2+1)*$N$5,"""")"),"")</f>
        <v/>
      </c>
      <c r="I22" s="16" t="str">
        <f t="shared" ca="1" si="2"/>
        <v/>
      </c>
      <c r="J22" s="22" t="str">
        <f t="shared" si="0"/>
        <v/>
      </c>
      <c r="K22" s="16" t="str">
        <f t="shared" si="3"/>
        <v/>
      </c>
      <c r="L22" s="16"/>
    </row>
    <row r="23" spans="1:12" ht="14.5" x14ac:dyDescent="0.35">
      <c r="A23" s="16"/>
      <c r="B23" s="16"/>
      <c r="C23" s="16"/>
      <c r="D23" s="16"/>
      <c r="E23" s="22" t="str">
        <f ca="1">IFERROR(__xludf.dummyfunction("iferror(1000+INT(($N$2-(index(split(D23,"":""),1)*60+index(split(D23,"":""),2 )))/0.2+1)*$N$3,"""")"),"")</f>
        <v/>
      </c>
      <c r="F23" s="16" t="str">
        <f t="shared" ca="1" si="1"/>
        <v/>
      </c>
      <c r="G23" s="16"/>
      <c r="H23" s="22" t="str">
        <f ca="1">IFERROR(__xludf.dummyfunction("iferror(1000+INT(($N$4-(index(split(G23,"":""),1)*60+index(split(G23,"":""),2 )))/0.2+1)*$N$5,"""")"),"")</f>
        <v/>
      </c>
      <c r="I23" s="16" t="str">
        <f t="shared" ca="1" si="2"/>
        <v/>
      </c>
      <c r="J23" s="22" t="str">
        <f t="shared" si="0"/>
        <v/>
      </c>
      <c r="K23" s="16" t="str">
        <f t="shared" si="3"/>
        <v/>
      </c>
      <c r="L23" s="16"/>
    </row>
    <row r="24" spans="1:12" ht="14.5" x14ac:dyDescent="0.35">
      <c r="A24" s="16"/>
      <c r="B24" s="16"/>
      <c r="C24" s="16"/>
      <c r="D24" s="16"/>
      <c r="E24" s="22" t="str">
        <f ca="1">IFERROR(__xludf.dummyfunction("iferror(1000+INT(($N$2-(index(split(D24,"":""),1)*60+index(split(D24,"":""),2 )))/0.2+1)*$N$3,"""")"),"")</f>
        <v/>
      </c>
      <c r="F24" s="16" t="str">
        <f t="shared" ca="1" si="1"/>
        <v/>
      </c>
      <c r="G24" s="16"/>
      <c r="H24" s="22" t="str">
        <f ca="1">IFERROR(__xludf.dummyfunction("iferror(1000+INT(($N$4-(index(split(G24,"":""),1)*60+index(split(G24,"":""),2 )))/0.2+1)*$N$5,"""")"),"")</f>
        <v/>
      </c>
      <c r="I24" s="16" t="str">
        <f t="shared" ca="1" si="2"/>
        <v/>
      </c>
      <c r="J24" s="16" t="str">
        <f t="shared" ref="J2:J33" si="4">IF(AND(D24="", G24=""), "", E24+H24)</f>
        <v/>
      </c>
      <c r="K24" s="16" t="str">
        <f t="shared" si="3"/>
        <v/>
      </c>
      <c r="L24" s="16"/>
    </row>
    <row r="25" spans="1:12" ht="14.5" x14ac:dyDescent="0.35">
      <c r="A25" s="16"/>
      <c r="B25" s="16"/>
      <c r="C25" s="16"/>
      <c r="D25" s="16"/>
      <c r="E25" s="22" t="str">
        <f ca="1">IFERROR(__xludf.dummyfunction("iferror(1000+INT(($N$2-(index(split(D25,"":""),1)*60+index(split(D25,"":""),2 )))/0.2+1)*$N$3,"""")"),"")</f>
        <v/>
      </c>
      <c r="F25" s="16" t="str">
        <f t="shared" ca="1" si="1"/>
        <v/>
      </c>
      <c r="G25" s="16"/>
      <c r="H25" s="22" t="str">
        <f ca="1">IFERROR(__xludf.dummyfunction("iferror(1000+INT(($N$4-(index(split(G25,"":""),1)*60+index(split(G25,"":""),2 )))/0.2+1)*$N$5,"""")"),"")</f>
        <v/>
      </c>
      <c r="I25" s="16" t="str">
        <f t="shared" ca="1" si="2"/>
        <v/>
      </c>
      <c r="J25" s="16" t="str">
        <f t="shared" si="4"/>
        <v/>
      </c>
      <c r="K25" s="16" t="str">
        <f t="shared" si="3"/>
        <v/>
      </c>
      <c r="L25" s="16"/>
    </row>
    <row r="26" spans="1:12" ht="14.5" x14ac:dyDescent="0.35">
      <c r="A26" s="16"/>
      <c r="B26" s="16"/>
      <c r="C26" s="16"/>
      <c r="D26" s="16"/>
      <c r="E26" s="22" t="str">
        <f ca="1">IFERROR(__xludf.dummyfunction("iferror(1000+INT(($N$2-(index(split(D26,"":""),1)*60+index(split(D26,"":""),2 )))/0.2+1)*$N$3,"""")"),"")</f>
        <v/>
      </c>
      <c r="F26" s="16" t="str">
        <f t="shared" ca="1" si="1"/>
        <v/>
      </c>
      <c r="G26" s="16"/>
      <c r="H26" s="22" t="str">
        <f ca="1">IFERROR(__xludf.dummyfunction("iferror(1000+INT(($N$4-(index(split(G26,"":""),1)*60+index(split(G26,"":""),2 )))/0.2+1)*$N$5,"""")"),"")</f>
        <v/>
      </c>
      <c r="I26" s="16" t="str">
        <f t="shared" ca="1" si="2"/>
        <v/>
      </c>
      <c r="J26" s="16" t="str">
        <f t="shared" si="4"/>
        <v/>
      </c>
      <c r="K26" s="16" t="str">
        <f t="shared" si="3"/>
        <v/>
      </c>
      <c r="L26" s="16"/>
    </row>
    <row r="27" spans="1:12" ht="14.5" x14ac:dyDescent="0.35">
      <c r="A27" s="16"/>
      <c r="B27" s="16"/>
      <c r="C27" s="16"/>
      <c r="D27" s="16"/>
      <c r="E27" s="22" t="str">
        <f ca="1">IFERROR(__xludf.dummyfunction("iferror(1000+INT(($N$2-(index(split(D27,"":""),1)*60+index(split(D27,"":""),2 )))/0.2+1)*$N$3,"""")"),"")</f>
        <v/>
      </c>
      <c r="F27" s="16" t="str">
        <f t="shared" ca="1" si="1"/>
        <v/>
      </c>
      <c r="G27" s="16"/>
      <c r="H27" s="22" t="str">
        <f ca="1">IFERROR(__xludf.dummyfunction("iferror(1000+INT(($N$4-(index(split(G27,"":""),1)*60+index(split(G27,"":""),2 )))/0.2+1)*$N$5,"""")"),"")</f>
        <v/>
      </c>
      <c r="I27" s="16" t="str">
        <f t="shared" ca="1" si="2"/>
        <v/>
      </c>
      <c r="J27" s="16" t="str">
        <f t="shared" si="4"/>
        <v/>
      </c>
      <c r="K27" s="16" t="str">
        <f t="shared" si="3"/>
        <v/>
      </c>
      <c r="L27" s="16"/>
    </row>
    <row r="28" spans="1:12" ht="14.5" x14ac:dyDescent="0.35">
      <c r="A28" s="16"/>
      <c r="B28" s="16"/>
      <c r="C28" s="16"/>
      <c r="D28" s="16"/>
      <c r="E28" s="22" t="str">
        <f ca="1">IFERROR(__xludf.dummyfunction("iferror(1000+INT(($N$2-(index(split(D28,"":""),1)*60+index(split(D28,"":""),2 )))/0.2+1)*$N$3,"""")"),"")</f>
        <v/>
      </c>
      <c r="F28" s="16" t="str">
        <f t="shared" ca="1" si="1"/>
        <v/>
      </c>
      <c r="G28" s="16"/>
      <c r="H28" s="22" t="str">
        <f ca="1">IFERROR(__xludf.dummyfunction("iferror(1000+INT(($N$4-(index(split(G28,"":""),1)*60+index(split(G28,"":""),2 )))/0.2+1)*$N$5,"""")"),"")</f>
        <v/>
      </c>
      <c r="I28" s="16" t="str">
        <f t="shared" ca="1" si="2"/>
        <v/>
      </c>
      <c r="J28" s="16" t="str">
        <f t="shared" si="4"/>
        <v/>
      </c>
      <c r="K28" s="16" t="str">
        <f t="shared" si="3"/>
        <v/>
      </c>
      <c r="L28" s="16"/>
    </row>
    <row r="29" spans="1:12" ht="14.5" x14ac:dyDescent="0.35">
      <c r="A29" s="16"/>
      <c r="B29" s="16"/>
      <c r="C29" s="16"/>
      <c r="D29" s="16"/>
      <c r="E29" s="22" t="str">
        <f ca="1">IFERROR(__xludf.dummyfunction("iferror(1000+INT(($N$2-(index(split(D29,"":""),1)*60+index(split(D29,"":""),2 )))/0.2+1)*$N$3,"""")"),"")</f>
        <v/>
      </c>
      <c r="F29" s="16" t="str">
        <f t="shared" ca="1" si="1"/>
        <v/>
      </c>
      <c r="G29" s="16"/>
      <c r="H29" s="22" t="str">
        <f ca="1">IFERROR(__xludf.dummyfunction("iferror(1000+INT(($N$4-(index(split(G29,"":""),1)*60+index(split(G29,"":""),2 )))/0.2+1)*$N$5,"""")"),"")</f>
        <v/>
      </c>
      <c r="I29" s="16" t="str">
        <f t="shared" ca="1" si="2"/>
        <v/>
      </c>
      <c r="J29" s="16" t="str">
        <f t="shared" si="4"/>
        <v/>
      </c>
      <c r="K29" s="16" t="str">
        <f t="shared" si="3"/>
        <v/>
      </c>
      <c r="L29" s="16"/>
    </row>
    <row r="30" spans="1:12" ht="14.5" x14ac:dyDescent="0.35">
      <c r="A30" s="16"/>
      <c r="B30" s="16"/>
      <c r="C30" s="16"/>
      <c r="D30" s="16"/>
      <c r="E30" s="22" t="str">
        <f ca="1">IFERROR(__xludf.dummyfunction("iferror(1000+INT(($N$2-(index(split(D30,"":""),1)*60+index(split(D30,"":""),2 )))/0.2+1)*$N$3,"""")"),"")</f>
        <v/>
      </c>
      <c r="F30" s="16" t="str">
        <f t="shared" ca="1" si="1"/>
        <v/>
      </c>
      <c r="G30" s="16"/>
      <c r="H30" s="22" t="str">
        <f ca="1">IFERROR(__xludf.dummyfunction("iferror(1000+INT(($N$4-(index(split(G30,"":""),1)*60+index(split(G30,"":""),2 )))/0.2+1)*$N$5,"""")"),"")</f>
        <v/>
      </c>
      <c r="I30" s="16" t="str">
        <f t="shared" ca="1" si="2"/>
        <v/>
      </c>
      <c r="J30" s="16" t="str">
        <f t="shared" si="4"/>
        <v/>
      </c>
      <c r="K30" s="16" t="str">
        <f t="shared" si="3"/>
        <v/>
      </c>
      <c r="L30" s="16"/>
    </row>
    <row r="31" spans="1:12" ht="14.5" x14ac:dyDescent="0.35">
      <c r="A31" s="16"/>
      <c r="B31" s="16"/>
      <c r="C31" s="16"/>
      <c r="D31" s="16"/>
      <c r="E31" s="22" t="str">
        <f ca="1">IFERROR(__xludf.dummyfunction("iferror(1000+INT(($N$2-(index(split(D31,"":""),1)*60+index(split(D31,"":""),2 )))/0.2+1)*$N$3,"""")"),"")</f>
        <v/>
      </c>
      <c r="F31" s="16" t="str">
        <f t="shared" ca="1" si="1"/>
        <v/>
      </c>
      <c r="G31" s="16"/>
      <c r="H31" s="22" t="str">
        <f ca="1">IFERROR(__xludf.dummyfunction("iferror(1000+INT(($N$4-(index(split(G31,"":""),1)*60+index(split(G31,"":""),2 )))/0.2+1)*$N$5,"""")"),"")</f>
        <v/>
      </c>
      <c r="I31" s="16" t="str">
        <f t="shared" ca="1" si="2"/>
        <v/>
      </c>
      <c r="J31" s="16" t="str">
        <f t="shared" si="4"/>
        <v/>
      </c>
      <c r="K31" s="16" t="str">
        <f t="shared" si="3"/>
        <v/>
      </c>
      <c r="L31" s="16"/>
    </row>
    <row r="32" spans="1:12" ht="14.5" x14ac:dyDescent="0.35">
      <c r="A32" s="16"/>
      <c r="B32" s="16"/>
      <c r="C32" s="16"/>
      <c r="D32" s="16"/>
      <c r="E32" s="22" t="str">
        <f ca="1">IFERROR(__xludf.dummyfunction("iferror(1000+INT(($N$2-(index(split(D32,"":""),1)*60+index(split(D32,"":""),2 )))/0.2+1)*$N$3,"""")"),"")</f>
        <v/>
      </c>
      <c r="F32" s="16" t="str">
        <f t="shared" ca="1" si="1"/>
        <v/>
      </c>
      <c r="G32" s="16"/>
      <c r="H32" s="22" t="str">
        <f ca="1">IFERROR(__xludf.dummyfunction("iferror(1000+INT(($N$4-(index(split(G32,"":""),1)*60+index(split(G32,"":""),2 )))/0.2+1)*$N$5,"""")"),"")</f>
        <v/>
      </c>
      <c r="I32" s="16" t="str">
        <f t="shared" ca="1" si="2"/>
        <v/>
      </c>
      <c r="J32" s="16" t="str">
        <f t="shared" si="4"/>
        <v/>
      </c>
      <c r="K32" s="16" t="str">
        <f t="shared" si="3"/>
        <v/>
      </c>
      <c r="L32" s="16"/>
    </row>
    <row r="33" spans="1:12" ht="14.5" x14ac:dyDescent="0.35">
      <c r="A33" s="16"/>
      <c r="B33" s="16"/>
      <c r="C33" s="16"/>
      <c r="D33" s="16"/>
      <c r="E33" s="22" t="str">
        <f ca="1">IFERROR(__xludf.dummyfunction("iferror(1000+INT(($N$2-(index(split(D33,"":""),1)*60+index(split(D33,"":""),2 )))/0.2+1)*$N$3,"""")"),"")</f>
        <v/>
      </c>
      <c r="F33" s="16" t="str">
        <f t="shared" ca="1" si="1"/>
        <v/>
      </c>
      <c r="G33" s="16"/>
      <c r="H33" s="22" t="str">
        <f ca="1">IFERROR(__xludf.dummyfunction("iferror(1000+INT(($N$4-(index(split(G33,"":""),1)*60+index(split(G33,"":""),2 )))/0.2+1)*$N$5,"""")"),"")</f>
        <v/>
      </c>
      <c r="I33" s="16" t="str">
        <f t="shared" ca="1" si="2"/>
        <v/>
      </c>
      <c r="J33" s="16" t="str">
        <f t="shared" si="4"/>
        <v/>
      </c>
      <c r="K33" s="16" t="str">
        <f t="shared" si="3"/>
        <v/>
      </c>
      <c r="L33" s="16"/>
    </row>
    <row r="34" spans="1:12" ht="14.5" x14ac:dyDescent="0.35">
      <c r="A34" s="16"/>
      <c r="B34" s="16"/>
      <c r="C34" s="16"/>
      <c r="D34" s="16"/>
      <c r="E34" s="22" t="str">
        <f ca="1">IFERROR(__xludf.dummyfunction("iferror(1000+INT(($N$2-(index(split(D34,"":""),1)*60+index(split(D34,"":""),2 )))/0.2+1)*$N$3,"""")"),"")</f>
        <v/>
      </c>
      <c r="F34" s="16" t="str">
        <f t="shared" ref="F34:F65" ca="1" si="5">IFERROR(_xlfn.RANK.EQ(E34,E:E),"")</f>
        <v/>
      </c>
      <c r="G34" s="16"/>
      <c r="H34" s="22" t="str">
        <f ca="1">IFERROR(__xludf.dummyfunction("iferror(1000+INT(($N$4-(index(split(G34,"":""),1)*60+index(split(G34,"":""),2 )))/0.2+1)*$N$5,"""")"),"")</f>
        <v/>
      </c>
      <c r="I34" s="16" t="str">
        <f t="shared" ref="I34:I65" ca="1" si="6">IFERROR(_xlfn.RANK.EQ(H34,H:H),"")</f>
        <v/>
      </c>
      <c r="J34" s="16" t="str">
        <f t="shared" ref="J34:J65" si="7">IF(AND(D34="", G34=""), "", E34+H34)</f>
        <v/>
      </c>
      <c r="K34" s="16" t="str">
        <f t="shared" ref="K34:K65" si="8">IFERROR(_xlfn.RANK.EQ(J34,J:J),"")</f>
        <v/>
      </c>
      <c r="L34" s="16"/>
    </row>
    <row r="35" spans="1:12" ht="14.5" x14ac:dyDescent="0.35">
      <c r="A35" s="16"/>
      <c r="B35" s="16"/>
      <c r="C35" s="16"/>
      <c r="D35" s="16"/>
      <c r="E35" s="22" t="str">
        <f ca="1">IFERROR(__xludf.dummyfunction("iferror(1000+INT(($N$2-(index(split(D35,"":""),1)*60+index(split(D35,"":""),2 )))/0.2+1)*$N$3,"""")"),"")</f>
        <v/>
      </c>
      <c r="F35" s="16" t="str">
        <f t="shared" ca="1" si="5"/>
        <v/>
      </c>
      <c r="G35" s="16"/>
      <c r="H35" s="22" t="str">
        <f ca="1">IFERROR(__xludf.dummyfunction("iferror(1000+INT(($N$4-(index(split(G35,"":""),1)*60+index(split(G35,"":""),2 )))/0.2+1)*$N$5,"""")"),"")</f>
        <v/>
      </c>
      <c r="I35" s="16" t="str">
        <f t="shared" ca="1" si="6"/>
        <v/>
      </c>
      <c r="J35" s="16" t="str">
        <f t="shared" si="7"/>
        <v/>
      </c>
      <c r="K35" s="16" t="str">
        <f t="shared" si="8"/>
        <v/>
      </c>
      <c r="L35" s="16"/>
    </row>
    <row r="36" spans="1:12" ht="14.5" x14ac:dyDescent="0.35">
      <c r="A36" s="16"/>
      <c r="B36" s="16"/>
      <c r="C36" s="16"/>
      <c r="D36" s="16"/>
      <c r="E36" s="22" t="str">
        <f ca="1">IFERROR(__xludf.dummyfunction("iferror(1000+INT(($N$2-(index(split(D36,"":""),1)*60+index(split(D36,"":""),2 )))/0.2+1)*$N$3,"""")"),"")</f>
        <v/>
      </c>
      <c r="F36" s="16" t="str">
        <f t="shared" ca="1" si="5"/>
        <v/>
      </c>
      <c r="G36" s="16"/>
      <c r="H36" s="22" t="str">
        <f ca="1">IFERROR(__xludf.dummyfunction("iferror(1000+INT(($N$4-(index(split(G36,"":""),1)*60+index(split(G36,"":""),2 )))/0.2+1)*$N$5,"""")"),"")</f>
        <v/>
      </c>
      <c r="I36" s="16" t="str">
        <f t="shared" ca="1" si="6"/>
        <v/>
      </c>
      <c r="J36" s="16" t="str">
        <f t="shared" si="7"/>
        <v/>
      </c>
      <c r="K36" s="16" t="str">
        <f t="shared" si="8"/>
        <v/>
      </c>
      <c r="L36" s="16"/>
    </row>
    <row r="37" spans="1:12" ht="14.5" x14ac:dyDescent="0.35">
      <c r="A37" s="16"/>
      <c r="B37" s="16"/>
      <c r="C37" s="16"/>
      <c r="D37" s="16"/>
      <c r="E37" s="22" t="str">
        <f ca="1">IFERROR(__xludf.dummyfunction("iferror(1000+INT(($N$2-(index(split(D37,"":""),1)*60+index(split(D37,"":""),2 )))/0.2+1)*$N$3,"""")"),"")</f>
        <v/>
      </c>
      <c r="F37" s="16" t="str">
        <f t="shared" ca="1" si="5"/>
        <v/>
      </c>
      <c r="G37" s="16"/>
      <c r="H37" s="22" t="str">
        <f ca="1">IFERROR(__xludf.dummyfunction("iferror(1000+INT(($N$4-(index(split(G37,"":""),1)*60+index(split(G37,"":""),2 )))/0.2+1)*$N$5,"""")"),"")</f>
        <v/>
      </c>
      <c r="I37" s="16" t="str">
        <f t="shared" ca="1" si="6"/>
        <v/>
      </c>
      <c r="J37" s="16" t="str">
        <f t="shared" si="7"/>
        <v/>
      </c>
      <c r="K37" s="16" t="str">
        <f t="shared" si="8"/>
        <v/>
      </c>
      <c r="L37" s="16"/>
    </row>
    <row r="38" spans="1:12" ht="14.5" x14ac:dyDescent="0.35">
      <c r="A38" s="16"/>
      <c r="B38" s="16"/>
      <c r="C38" s="16"/>
      <c r="D38" s="16"/>
      <c r="E38" s="22" t="str">
        <f ca="1">IFERROR(__xludf.dummyfunction("iferror(1000+INT(($N$2-(index(split(D38,"":""),1)*60+index(split(D38,"":""),2 )))/0.2+1)*$N$3,"""")"),"")</f>
        <v/>
      </c>
      <c r="F38" s="16" t="str">
        <f t="shared" ca="1" si="5"/>
        <v/>
      </c>
      <c r="G38" s="16"/>
      <c r="H38" s="22" t="str">
        <f ca="1">IFERROR(__xludf.dummyfunction("iferror(1000+INT(($N$4-(index(split(G38,"":""),1)*60+index(split(G38,"":""),2 )))/0.2+1)*$N$5,"""")"),"")</f>
        <v/>
      </c>
      <c r="I38" s="16" t="str">
        <f t="shared" ca="1" si="6"/>
        <v/>
      </c>
      <c r="J38" s="16" t="str">
        <f t="shared" si="7"/>
        <v/>
      </c>
      <c r="K38" s="16" t="str">
        <f t="shared" si="8"/>
        <v/>
      </c>
      <c r="L38" s="16"/>
    </row>
    <row r="39" spans="1:12" ht="14.5" x14ac:dyDescent="0.35">
      <c r="A39" s="16"/>
      <c r="B39" s="16"/>
      <c r="C39" s="16"/>
      <c r="D39" s="16"/>
      <c r="E39" s="22" t="str">
        <f ca="1">IFERROR(__xludf.dummyfunction("iferror(1000+INT(($N$2-(index(split(D39,"":""),1)*60+index(split(D39,"":""),2 )))/0.2+1)*$N$3,"""")"),"")</f>
        <v/>
      </c>
      <c r="F39" s="16" t="str">
        <f t="shared" ca="1" si="5"/>
        <v/>
      </c>
      <c r="G39" s="16"/>
      <c r="H39" s="22" t="str">
        <f ca="1">IFERROR(__xludf.dummyfunction("iferror(1000+INT(($N$4-(index(split(G39,"":""),1)*60+index(split(G39,"":""),2 )))/0.2+1)*$N$5,"""")"),"")</f>
        <v/>
      </c>
      <c r="I39" s="16" t="str">
        <f t="shared" ca="1" si="6"/>
        <v/>
      </c>
      <c r="J39" s="16" t="str">
        <f t="shared" si="7"/>
        <v/>
      </c>
      <c r="K39" s="16" t="str">
        <f t="shared" si="8"/>
        <v/>
      </c>
      <c r="L39" s="16"/>
    </row>
    <row r="40" spans="1:12" ht="14.5" x14ac:dyDescent="0.35">
      <c r="A40" s="16"/>
      <c r="B40" s="16"/>
      <c r="C40" s="16"/>
      <c r="D40" s="16"/>
      <c r="E40" s="22" t="str">
        <f ca="1">IFERROR(__xludf.dummyfunction("iferror(1000+INT(($N$2-(index(split(D40,"":""),1)*60+index(split(D40,"":""),2 )))/0.2+1)*$N$3,"""")"),"")</f>
        <v/>
      </c>
      <c r="F40" s="16" t="str">
        <f t="shared" ca="1" si="5"/>
        <v/>
      </c>
      <c r="G40" s="16"/>
      <c r="H40" s="22" t="str">
        <f ca="1">IFERROR(__xludf.dummyfunction("iferror(1000+INT(($N$4-(index(split(G40,"":""),1)*60+index(split(G40,"":""),2 )))/0.2+1)*$N$5,"""")"),"")</f>
        <v/>
      </c>
      <c r="I40" s="16" t="str">
        <f t="shared" ca="1" si="6"/>
        <v/>
      </c>
      <c r="J40" s="16" t="str">
        <f t="shared" si="7"/>
        <v/>
      </c>
      <c r="K40" s="16" t="str">
        <f t="shared" si="8"/>
        <v/>
      </c>
      <c r="L40" s="16"/>
    </row>
    <row r="41" spans="1:12" ht="14.5" x14ac:dyDescent="0.35">
      <c r="A41" s="16"/>
      <c r="B41" s="16"/>
      <c r="C41" s="16"/>
      <c r="D41" s="16"/>
      <c r="E41" s="22" t="str">
        <f ca="1">IFERROR(__xludf.dummyfunction("iferror(1000+INT(($N$2-(index(split(D41,"":""),1)*60+index(split(D41,"":""),2 )))/0.2+1)*$N$3,"""")"),"")</f>
        <v/>
      </c>
      <c r="F41" s="16" t="str">
        <f t="shared" ca="1" si="5"/>
        <v/>
      </c>
      <c r="G41" s="16"/>
      <c r="H41" s="22" t="str">
        <f ca="1">IFERROR(__xludf.dummyfunction("iferror(1000+INT(($N$4-(index(split(G41,"":""),1)*60+index(split(G41,"":""),2 )))/0.2+1)*$N$5,"""")"),"")</f>
        <v/>
      </c>
      <c r="I41" s="16" t="str">
        <f t="shared" ca="1" si="6"/>
        <v/>
      </c>
      <c r="J41" s="16" t="str">
        <f t="shared" si="7"/>
        <v/>
      </c>
      <c r="K41" s="16" t="str">
        <f t="shared" si="8"/>
        <v/>
      </c>
      <c r="L41" s="16"/>
    </row>
    <row r="42" spans="1:12" ht="14.5" x14ac:dyDescent="0.35">
      <c r="A42" s="16"/>
      <c r="B42" s="16"/>
      <c r="C42" s="16"/>
      <c r="D42" s="16"/>
      <c r="E42" s="22" t="str">
        <f ca="1">IFERROR(__xludf.dummyfunction("iferror(1000+INT(($N$2-(index(split(D42,"":""),1)*60+index(split(D42,"":""),2 )))/0.2+1)*$N$3,"""")"),"")</f>
        <v/>
      </c>
      <c r="F42" s="16" t="str">
        <f t="shared" ca="1" si="5"/>
        <v/>
      </c>
      <c r="G42" s="16"/>
      <c r="H42" s="22" t="str">
        <f ca="1">IFERROR(__xludf.dummyfunction("iferror(1000+INT(($N$4-(index(split(G42,"":""),1)*60+index(split(G42,"":""),2 )))/0.2+1)*$N$5,"""")"),"")</f>
        <v/>
      </c>
      <c r="I42" s="16" t="str">
        <f t="shared" ca="1" si="6"/>
        <v/>
      </c>
      <c r="J42" s="16" t="str">
        <f t="shared" si="7"/>
        <v/>
      </c>
      <c r="K42" s="16" t="str">
        <f t="shared" si="8"/>
        <v/>
      </c>
      <c r="L42" s="16"/>
    </row>
    <row r="43" spans="1:12" ht="14.5" x14ac:dyDescent="0.35">
      <c r="A43" s="16"/>
      <c r="B43" s="16"/>
      <c r="C43" s="16"/>
      <c r="D43" s="16"/>
      <c r="E43" s="22" t="str">
        <f ca="1">IFERROR(__xludf.dummyfunction("iferror(1000+INT(($N$2-(index(split(D43,"":""),1)*60+index(split(D43,"":""),2 )))/0.2+1)*$N$3,"""")"),"")</f>
        <v/>
      </c>
      <c r="F43" s="16" t="str">
        <f t="shared" ca="1" si="5"/>
        <v/>
      </c>
      <c r="G43" s="16"/>
      <c r="H43" s="22" t="str">
        <f ca="1">IFERROR(__xludf.dummyfunction("iferror(1000+INT(($N$4-(index(split(G43,"":""),1)*60+index(split(G43,"":""),2 )))/0.2+1)*$N$5,"""")"),"")</f>
        <v/>
      </c>
      <c r="I43" s="16" t="str">
        <f t="shared" ca="1" si="6"/>
        <v/>
      </c>
      <c r="J43" s="16" t="str">
        <f t="shared" si="7"/>
        <v/>
      </c>
      <c r="K43" s="16" t="str">
        <f t="shared" si="8"/>
        <v/>
      </c>
      <c r="L43" s="16"/>
    </row>
    <row r="44" spans="1:12" ht="14.5" x14ac:dyDescent="0.35">
      <c r="A44" s="16"/>
      <c r="B44" s="16"/>
      <c r="C44" s="16"/>
      <c r="D44" s="16"/>
      <c r="E44" s="22" t="str">
        <f ca="1">IFERROR(__xludf.dummyfunction("iferror(1000+INT(($N$2-(index(split(D44,"":""),1)*60+index(split(D44,"":""),2 )))/0.2+1)*$N$3,"""")"),"")</f>
        <v/>
      </c>
      <c r="F44" s="16" t="str">
        <f t="shared" ca="1" si="5"/>
        <v/>
      </c>
      <c r="G44" s="16"/>
      <c r="H44" s="22" t="str">
        <f ca="1">IFERROR(__xludf.dummyfunction("iferror(1000+INT(($N$4-(index(split(G44,"":""),1)*60+index(split(G44,"":""),2 )))/0.2+1)*$N$5,"""")"),"")</f>
        <v/>
      </c>
      <c r="I44" s="16" t="str">
        <f t="shared" ca="1" si="6"/>
        <v/>
      </c>
      <c r="J44" s="16" t="str">
        <f t="shared" si="7"/>
        <v/>
      </c>
      <c r="K44" s="16" t="str">
        <f t="shared" si="8"/>
        <v/>
      </c>
      <c r="L44" s="16"/>
    </row>
    <row r="45" spans="1:12" ht="14.5" x14ac:dyDescent="0.35">
      <c r="A45" s="16"/>
      <c r="B45" s="16"/>
      <c r="C45" s="16"/>
      <c r="D45" s="16"/>
      <c r="E45" s="22" t="str">
        <f ca="1">IFERROR(__xludf.dummyfunction("iferror(1000+INT(($N$2-(index(split(D45,"":""),1)*60+index(split(D45,"":""),2 )))/0.2+1)*$N$3,"""")"),"")</f>
        <v/>
      </c>
      <c r="F45" s="16" t="str">
        <f t="shared" ca="1" si="5"/>
        <v/>
      </c>
      <c r="G45" s="16"/>
      <c r="H45" s="22" t="str">
        <f ca="1">IFERROR(__xludf.dummyfunction("iferror(1000+INT(($N$4-(index(split(G45,"":""),1)*60+index(split(G45,"":""),2 )))/0.2+1)*$N$5,"""")"),"")</f>
        <v/>
      </c>
      <c r="I45" s="16" t="str">
        <f t="shared" ca="1" si="6"/>
        <v/>
      </c>
      <c r="J45" s="16" t="str">
        <f t="shared" si="7"/>
        <v/>
      </c>
      <c r="K45" s="16" t="str">
        <f t="shared" si="8"/>
        <v/>
      </c>
      <c r="L45" s="16"/>
    </row>
    <row r="46" spans="1:12" ht="14.5" x14ac:dyDescent="0.35">
      <c r="A46" s="16"/>
      <c r="B46" s="16"/>
      <c r="C46" s="16"/>
      <c r="D46" s="16"/>
      <c r="E46" s="22" t="str">
        <f ca="1">IFERROR(__xludf.dummyfunction("iferror(1000+INT(($N$2-(index(split(D46,"":""),1)*60+index(split(D46,"":""),2 )))/0.2+1)*$N$3,"""")"),"")</f>
        <v/>
      </c>
      <c r="F46" s="16" t="str">
        <f t="shared" ca="1" si="5"/>
        <v/>
      </c>
      <c r="G46" s="16"/>
      <c r="H46" s="22" t="str">
        <f ca="1">IFERROR(__xludf.dummyfunction("iferror(1000+INT(($N$4-(index(split(G46,"":""),1)*60+index(split(G46,"":""),2 )))/0.2+1)*$N$5,"""")"),"")</f>
        <v/>
      </c>
      <c r="I46" s="16" t="str">
        <f t="shared" ca="1" si="6"/>
        <v/>
      </c>
      <c r="J46" s="16" t="str">
        <f t="shared" si="7"/>
        <v/>
      </c>
      <c r="K46" s="16" t="str">
        <f t="shared" si="8"/>
        <v/>
      </c>
      <c r="L46" s="16"/>
    </row>
    <row r="47" spans="1:12" ht="14.5" x14ac:dyDescent="0.35">
      <c r="A47" s="16"/>
      <c r="B47" s="16"/>
      <c r="C47" s="16"/>
      <c r="D47" s="16"/>
      <c r="E47" s="22" t="str">
        <f ca="1">IFERROR(__xludf.dummyfunction("iferror(1000+INT(($N$2-(index(split(D47,"":""),1)*60+index(split(D47,"":""),2 )))/0.2+1)*$N$3,"""")"),"")</f>
        <v/>
      </c>
      <c r="F47" s="16" t="str">
        <f t="shared" ca="1" si="5"/>
        <v/>
      </c>
      <c r="G47" s="16"/>
      <c r="H47" s="22" t="str">
        <f ca="1">IFERROR(__xludf.dummyfunction("iferror(1000+INT(($N$4-(index(split(G47,"":""),1)*60+index(split(G47,"":""),2 )))/0.2+1)*$N$5,"""")"),"")</f>
        <v/>
      </c>
      <c r="I47" s="16" t="str">
        <f t="shared" ca="1" si="6"/>
        <v/>
      </c>
      <c r="J47" s="16" t="str">
        <f t="shared" si="7"/>
        <v/>
      </c>
      <c r="K47" s="16" t="str">
        <f t="shared" si="8"/>
        <v/>
      </c>
      <c r="L47" s="16"/>
    </row>
    <row r="48" spans="1:12" ht="14.5" x14ac:dyDescent="0.35">
      <c r="A48" s="16"/>
      <c r="B48" s="16"/>
      <c r="C48" s="16"/>
      <c r="D48" s="16"/>
      <c r="E48" s="22" t="str">
        <f ca="1">IFERROR(__xludf.dummyfunction("iferror(1000+INT(($N$2-(index(split(D48,"":""),1)*60+index(split(D48,"":""),2 )))/0.2+1)*$N$3,"""")"),"")</f>
        <v/>
      </c>
      <c r="F48" s="16" t="str">
        <f t="shared" ca="1" si="5"/>
        <v/>
      </c>
      <c r="G48" s="16"/>
      <c r="H48" s="22" t="str">
        <f ca="1">IFERROR(__xludf.dummyfunction("iferror(1000+INT(($N$4-(index(split(G48,"":""),1)*60+index(split(G48,"":""),2 )))/0.2+1)*$N$5,"""")"),"")</f>
        <v/>
      </c>
      <c r="I48" s="16" t="str">
        <f t="shared" ca="1" si="6"/>
        <v/>
      </c>
      <c r="J48" s="16" t="str">
        <f t="shared" si="7"/>
        <v/>
      </c>
      <c r="K48" s="16" t="str">
        <f t="shared" si="8"/>
        <v/>
      </c>
      <c r="L48" s="16"/>
    </row>
    <row r="49" spans="1:12" ht="14.5" x14ac:dyDescent="0.35">
      <c r="A49" s="16"/>
      <c r="B49" s="16"/>
      <c r="C49" s="16"/>
      <c r="D49" s="16"/>
      <c r="E49" s="22" t="str">
        <f ca="1">IFERROR(__xludf.dummyfunction("iferror(1000+INT(($N$2-(index(split(D49,"":""),1)*60+index(split(D49,"":""),2 )))/0.2+1)*$N$3,"""")"),"")</f>
        <v/>
      </c>
      <c r="F49" s="16" t="str">
        <f t="shared" ca="1" si="5"/>
        <v/>
      </c>
      <c r="G49" s="16"/>
      <c r="H49" s="22" t="str">
        <f ca="1">IFERROR(__xludf.dummyfunction("iferror(1000+INT(($N$4-(index(split(G49,"":""),1)*60+index(split(G49,"":""),2 )))/0.2+1)*$N$5,"""")"),"")</f>
        <v/>
      </c>
      <c r="I49" s="16" t="str">
        <f t="shared" ca="1" si="6"/>
        <v/>
      </c>
      <c r="J49" s="16" t="str">
        <f t="shared" si="7"/>
        <v/>
      </c>
      <c r="K49" s="16" t="str">
        <f t="shared" si="8"/>
        <v/>
      </c>
      <c r="L49" s="16"/>
    </row>
    <row r="50" spans="1:12" ht="14.5" x14ac:dyDescent="0.35">
      <c r="A50" s="16"/>
      <c r="B50" s="16"/>
      <c r="C50" s="16"/>
      <c r="D50" s="16"/>
      <c r="E50" s="22" t="str">
        <f ca="1">IFERROR(__xludf.dummyfunction("iferror(1000+INT(($N$2-(index(split(D50,"":""),1)*60+index(split(D50,"":""),2 )))/0.2+1)*$N$3,"""")"),"")</f>
        <v/>
      </c>
      <c r="F50" s="16" t="str">
        <f t="shared" ca="1" si="5"/>
        <v/>
      </c>
      <c r="G50" s="16"/>
      <c r="H50" s="22" t="str">
        <f ca="1">IFERROR(__xludf.dummyfunction("iferror(1000+INT(($N$4-(index(split(G50,"":""),1)*60+index(split(G50,"":""),2 )))/0.2+1)*$N$5,"""")"),"")</f>
        <v/>
      </c>
      <c r="I50" s="16" t="str">
        <f t="shared" ca="1" si="6"/>
        <v/>
      </c>
      <c r="J50" s="16" t="str">
        <f t="shared" si="7"/>
        <v/>
      </c>
      <c r="K50" s="16" t="str">
        <f t="shared" si="8"/>
        <v/>
      </c>
      <c r="L50" s="16"/>
    </row>
    <row r="51" spans="1:12" ht="14.5" x14ac:dyDescent="0.35">
      <c r="A51" s="16"/>
      <c r="B51" s="16"/>
      <c r="C51" s="16"/>
      <c r="D51" s="16"/>
      <c r="E51" s="22" t="str">
        <f ca="1">IFERROR(__xludf.dummyfunction("iferror(1000+INT(($N$2-(index(split(D51,"":""),1)*60+index(split(D51,"":""),2 )))/0.2+1)*$N$3,"""")"),"")</f>
        <v/>
      </c>
      <c r="F51" s="16" t="str">
        <f t="shared" ca="1" si="5"/>
        <v/>
      </c>
      <c r="G51" s="16"/>
      <c r="H51" s="22" t="str">
        <f ca="1">IFERROR(__xludf.dummyfunction("iferror(1000+INT(($N$4-(index(split(G51,"":""),1)*60+index(split(G51,"":""),2 )))/0.2+1)*$N$5,"""")"),"")</f>
        <v/>
      </c>
      <c r="I51" s="16" t="str">
        <f t="shared" ca="1" si="6"/>
        <v/>
      </c>
      <c r="J51" s="16" t="str">
        <f t="shared" si="7"/>
        <v/>
      </c>
      <c r="K51" s="16" t="str">
        <f t="shared" si="8"/>
        <v/>
      </c>
      <c r="L51" s="16"/>
    </row>
    <row r="52" spans="1:12" ht="14.5" x14ac:dyDescent="0.35">
      <c r="A52" s="16"/>
      <c r="B52" s="16"/>
      <c r="C52" s="16"/>
      <c r="D52" s="16"/>
      <c r="E52" s="22" t="str">
        <f ca="1">IFERROR(__xludf.dummyfunction("iferror(1000+INT(($N$2-(index(split(D52,"":""),1)*60+index(split(D52,"":""),2 )))/0.2+1)*$N$3,"""")"),"")</f>
        <v/>
      </c>
      <c r="F52" s="16" t="str">
        <f t="shared" ca="1" si="5"/>
        <v/>
      </c>
      <c r="G52" s="16"/>
      <c r="H52" s="22" t="str">
        <f ca="1">IFERROR(__xludf.dummyfunction("iferror(1000+INT(($N$4-(index(split(G52,"":""),1)*60+index(split(G52,"":""),2 )))/0.2+1)*$N$5,"""")"),"")</f>
        <v/>
      </c>
      <c r="I52" s="16" t="str">
        <f t="shared" ca="1" si="6"/>
        <v/>
      </c>
      <c r="J52" s="16" t="str">
        <f t="shared" si="7"/>
        <v/>
      </c>
      <c r="K52" s="16" t="str">
        <f t="shared" si="8"/>
        <v/>
      </c>
      <c r="L52" s="16"/>
    </row>
    <row r="53" spans="1:12" ht="14.5" x14ac:dyDescent="0.35">
      <c r="A53" s="16"/>
      <c r="B53" s="16"/>
      <c r="C53" s="16"/>
      <c r="D53" s="16"/>
      <c r="E53" s="22" t="str">
        <f ca="1">IFERROR(__xludf.dummyfunction("iferror(1000+INT(($N$2-(index(split(D53,"":""),1)*60+index(split(D53,"":""),2 )))/0.2+1)*$N$3,"""")"),"")</f>
        <v/>
      </c>
      <c r="F53" s="16" t="str">
        <f t="shared" ca="1" si="5"/>
        <v/>
      </c>
      <c r="G53" s="16"/>
      <c r="H53" s="22" t="str">
        <f ca="1">IFERROR(__xludf.dummyfunction("iferror(1000+INT(($N$4-(index(split(G53,"":""),1)*60+index(split(G53,"":""),2 )))/0.2+1)*$N$5,"""")"),"")</f>
        <v/>
      </c>
      <c r="I53" s="16" t="str">
        <f t="shared" ca="1" si="6"/>
        <v/>
      </c>
      <c r="J53" s="16" t="str">
        <f t="shared" si="7"/>
        <v/>
      </c>
      <c r="K53" s="16" t="str">
        <f t="shared" si="8"/>
        <v/>
      </c>
      <c r="L53" s="16"/>
    </row>
    <row r="54" spans="1:12" ht="14.5" x14ac:dyDescent="0.35">
      <c r="A54" s="16"/>
      <c r="B54" s="16"/>
      <c r="C54" s="16"/>
      <c r="D54" s="16"/>
      <c r="E54" s="22" t="str">
        <f ca="1">IFERROR(__xludf.dummyfunction("iferror(1000+INT(($N$2-(index(split(D54,"":""),1)*60+index(split(D54,"":""),2 )))/0.2+1)*$N$3,"""")"),"")</f>
        <v/>
      </c>
      <c r="F54" s="16" t="str">
        <f t="shared" ca="1" si="5"/>
        <v/>
      </c>
      <c r="G54" s="16"/>
      <c r="H54" s="22" t="str">
        <f ca="1">IFERROR(__xludf.dummyfunction("iferror(1000+INT(($N$4-(index(split(G54,"":""),1)*60+index(split(G54,"":""),2 )))/0.2+1)*$N$5,"""")"),"")</f>
        <v/>
      </c>
      <c r="I54" s="16" t="str">
        <f t="shared" ca="1" si="6"/>
        <v/>
      </c>
      <c r="J54" s="16" t="str">
        <f t="shared" si="7"/>
        <v/>
      </c>
      <c r="K54" s="16" t="str">
        <f t="shared" si="8"/>
        <v/>
      </c>
      <c r="L54" s="16"/>
    </row>
    <row r="55" spans="1:12" ht="14.5" x14ac:dyDescent="0.35">
      <c r="A55" s="16"/>
      <c r="B55" s="16"/>
      <c r="C55" s="16"/>
      <c r="D55" s="16"/>
      <c r="E55" s="22" t="str">
        <f ca="1">IFERROR(__xludf.dummyfunction("iferror(1000+INT(($N$2-(index(split(D55,"":""),1)*60+index(split(D55,"":""),2 )))/0.2+1)*$N$3,"""")"),"")</f>
        <v/>
      </c>
      <c r="F55" s="16" t="str">
        <f t="shared" ca="1" si="5"/>
        <v/>
      </c>
      <c r="G55" s="16"/>
      <c r="H55" s="22" t="str">
        <f ca="1">IFERROR(__xludf.dummyfunction("iferror(1000+INT(($N$4-(index(split(G55,"":""),1)*60+index(split(G55,"":""),2 )))/0.2+1)*$N$5,"""")"),"")</f>
        <v/>
      </c>
      <c r="I55" s="16" t="str">
        <f t="shared" ca="1" si="6"/>
        <v/>
      </c>
      <c r="J55" s="16" t="str">
        <f t="shared" si="7"/>
        <v/>
      </c>
      <c r="K55" s="16" t="str">
        <f t="shared" si="8"/>
        <v/>
      </c>
      <c r="L55" s="16"/>
    </row>
    <row r="56" spans="1:12" ht="14.5" x14ac:dyDescent="0.35">
      <c r="A56" s="16"/>
      <c r="B56" s="16"/>
      <c r="C56" s="16"/>
      <c r="D56" s="16"/>
      <c r="E56" s="22" t="str">
        <f ca="1">IFERROR(__xludf.dummyfunction("iferror(1000+INT(($N$2-(index(split(D56,"":""),1)*60+index(split(D56,"":""),2 )))/0.2+1)*$N$3,"""")"),"")</f>
        <v/>
      </c>
      <c r="F56" s="16" t="str">
        <f t="shared" ca="1" si="5"/>
        <v/>
      </c>
      <c r="G56" s="16"/>
      <c r="H56" s="22" t="str">
        <f ca="1">IFERROR(__xludf.dummyfunction("iferror(1000+INT(($N$4-(index(split(G56,"":""),1)*60+index(split(G56,"":""),2 )))/0.2+1)*$N$5,"""")"),"")</f>
        <v/>
      </c>
      <c r="I56" s="16" t="str">
        <f t="shared" ca="1" si="6"/>
        <v/>
      </c>
      <c r="J56" s="16" t="str">
        <f t="shared" si="7"/>
        <v/>
      </c>
      <c r="K56" s="16" t="str">
        <f t="shared" si="8"/>
        <v/>
      </c>
      <c r="L56" s="16"/>
    </row>
    <row r="57" spans="1:12" ht="14.5" x14ac:dyDescent="0.35">
      <c r="A57" s="16"/>
      <c r="B57" s="16"/>
      <c r="C57" s="16"/>
      <c r="D57" s="16"/>
      <c r="E57" s="22" t="str">
        <f ca="1">IFERROR(__xludf.dummyfunction("iferror(1000+INT(($N$2-(index(split(D57,"":""),1)*60+index(split(D57,"":""),2 )))/0.2+1)*$N$3,"""")"),"")</f>
        <v/>
      </c>
      <c r="F57" s="16" t="str">
        <f t="shared" ca="1" si="5"/>
        <v/>
      </c>
      <c r="G57" s="16"/>
      <c r="H57" s="22" t="str">
        <f ca="1">IFERROR(__xludf.dummyfunction("iferror(1000+INT(($N$4-(index(split(G57,"":""),1)*60+index(split(G57,"":""),2 )))/0.2+1)*$N$5,"""")"),"")</f>
        <v/>
      </c>
      <c r="I57" s="16" t="str">
        <f t="shared" ca="1" si="6"/>
        <v/>
      </c>
      <c r="J57" s="16" t="str">
        <f t="shared" si="7"/>
        <v/>
      </c>
      <c r="K57" s="16" t="str">
        <f t="shared" si="8"/>
        <v/>
      </c>
      <c r="L57" s="16"/>
    </row>
    <row r="58" spans="1:12" ht="14.5" x14ac:dyDescent="0.35">
      <c r="A58" s="16"/>
      <c r="B58" s="16"/>
      <c r="C58" s="16"/>
      <c r="D58" s="16"/>
      <c r="E58" s="22" t="str">
        <f ca="1">IFERROR(__xludf.dummyfunction("iferror(1000+INT(($N$2-(index(split(D58,"":""),1)*60+index(split(D58,"":""),2 )))/0.2+1)*$N$3,"""")"),"")</f>
        <v/>
      </c>
      <c r="F58" s="16" t="str">
        <f t="shared" ca="1" si="5"/>
        <v/>
      </c>
      <c r="G58" s="16"/>
      <c r="H58" s="22" t="str">
        <f ca="1">IFERROR(__xludf.dummyfunction("iferror(1000+INT(($N$4-(index(split(G58,"":""),1)*60+index(split(G58,"":""),2 )))/0.2+1)*$N$5,"""")"),"")</f>
        <v/>
      </c>
      <c r="I58" s="16" t="str">
        <f t="shared" ca="1" si="6"/>
        <v/>
      </c>
      <c r="J58" s="16" t="str">
        <f t="shared" si="7"/>
        <v/>
      </c>
      <c r="K58" s="16" t="str">
        <f t="shared" si="8"/>
        <v/>
      </c>
      <c r="L58" s="16"/>
    </row>
    <row r="59" spans="1:12" ht="14.5" x14ac:dyDescent="0.35">
      <c r="A59" s="16"/>
      <c r="B59" s="16"/>
      <c r="C59" s="16"/>
      <c r="D59" s="16"/>
      <c r="E59" s="22" t="str">
        <f ca="1">IFERROR(__xludf.dummyfunction("iferror(1000+INT(($N$2-(index(split(D59,"":""),1)*60+index(split(D59,"":""),2 )))/0.2+1)*$N$3,"""")"),"")</f>
        <v/>
      </c>
      <c r="F59" s="16" t="str">
        <f t="shared" ca="1" si="5"/>
        <v/>
      </c>
      <c r="G59" s="16"/>
      <c r="H59" s="22" t="str">
        <f ca="1">IFERROR(__xludf.dummyfunction("iferror(1000+INT(($N$4-(index(split(G59,"":""),1)*60+index(split(G59,"":""),2 )))/0.2+1)*$N$5,"""")"),"")</f>
        <v/>
      </c>
      <c r="I59" s="16" t="str">
        <f t="shared" ca="1" si="6"/>
        <v/>
      </c>
      <c r="J59" s="16" t="str">
        <f t="shared" si="7"/>
        <v/>
      </c>
      <c r="K59" s="16" t="str">
        <f t="shared" si="8"/>
        <v/>
      </c>
      <c r="L59" s="16"/>
    </row>
    <row r="60" spans="1:12" ht="14.5" x14ac:dyDescent="0.35">
      <c r="A60" s="16"/>
      <c r="B60" s="16"/>
      <c r="C60" s="16"/>
      <c r="D60" s="16"/>
      <c r="E60" s="22" t="str">
        <f ca="1">IFERROR(__xludf.dummyfunction("iferror(1000+INT(($N$2-(index(split(D60,"":""),1)*60+index(split(D60,"":""),2 )))/0.2+1)*$N$3,"""")"),"")</f>
        <v/>
      </c>
      <c r="F60" s="16" t="str">
        <f t="shared" ca="1" si="5"/>
        <v/>
      </c>
      <c r="G60" s="16"/>
      <c r="H60" s="22" t="str">
        <f ca="1">IFERROR(__xludf.dummyfunction("iferror(1000+INT(($N$4-(index(split(G60,"":""),1)*60+index(split(G60,"":""),2 )))/0.2+1)*$N$5,"""")"),"")</f>
        <v/>
      </c>
      <c r="I60" s="16" t="str">
        <f t="shared" ca="1" si="6"/>
        <v/>
      </c>
      <c r="J60" s="16" t="str">
        <f t="shared" si="7"/>
        <v/>
      </c>
      <c r="K60" s="16" t="str">
        <f t="shared" si="8"/>
        <v/>
      </c>
      <c r="L60" s="16"/>
    </row>
    <row r="61" spans="1:12" ht="14.5" x14ac:dyDescent="0.35">
      <c r="A61" s="16"/>
      <c r="B61" s="16"/>
      <c r="C61" s="16"/>
      <c r="D61" s="16"/>
      <c r="E61" s="22" t="str">
        <f ca="1">IFERROR(__xludf.dummyfunction("iferror(1000+INT(($N$2-(index(split(D61,"":""),1)*60+index(split(D61,"":""),2 )))/0.2+1)*$N$3,"""")"),"")</f>
        <v/>
      </c>
      <c r="F61" s="16" t="str">
        <f t="shared" ca="1" si="5"/>
        <v/>
      </c>
      <c r="G61" s="16"/>
      <c r="H61" s="22" t="str">
        <f ca="1">IFERROR(__xludf.dummyfunction("iferror(1000+INT(($N$4-(index(split(G61,"":""),1)*60+index(split(G61,"":""),2 )))/0.2+1)*$N$5,"""")"),"")</f>
        <v/>
      </c>
      <c r="I61" s="16" t="str">
        <f t="shared" ca="1" si="6"/>
        <v/>
      </c>
      <c r="J61" s="16" t="str">
        <f t="shared" si="7"/>
        <v/>
      </c>
      <c r="K61" s="16" t="str">
        <f t="shared" si="8"/>
        <v/>
      </c>
      <c r="L61" s="16"/>
    </row>
    <row r="62" spans="1:12" ht="14.5" x14ac:dyDescent="0.35">
      <c r="A62" s="16"/>
      <c r="B62" s="16"/>
      <c r="C62" s="16"/>
      <c r="D62" s="16"/>
      <c r="E62" s="22" t="str">
        <f ca="1">IFERROR(__xludf.dummyfunction("iferror(1000+INT(($N$2-(index(split(D62,"":""),1)*60+index(split(D62,"":""),2 )))/0.2+1)*$N$3,"""")"),"")</f>
        <v/>
      </c>
      <c r="F62" s="16" t="str">
        <f t="shared" ca="1" si="5"/>
        <v/>
      </c>
      <c r="G62" s="16"/>
      <c r="H62" s="22" t="str">
        <f ca="1">IFERROR(__xludf.dummyfunction("iferror(1000+INT(($N$4-(index(split(G62,"":""),1)*60+index(split(G62,"":""),2 )))/0.2+1)*$N$5,"""")"),"")</f>
        <v/>
      </c>
      <c r="I62" s="16" t="str">
        <f t="shared" ca="1" si="6"/>
        <v/>
      </c>
      <c r="J62" s="16" t="str">
        <f t="shared" si="7"/>
        <v/>
      </c>
      <c r="K62" s="16" t="str">
        <f t="shared" si="8"/>
        <v/>
      </c>
      <c r="L62" s="16"/>
    </row>
    <row r="63" spans="1:12" ht="14.5" x14ac:dyDescent="0.35">
      <c r="A63" s="16"/>
      <c r="B63" s="16"/>
      <c r="C63" s="16"/>
      <c r="D63" s="16"/>
      <c r="E63" s="22" t="str">
        <f ca="1">IFERROR(__xludf.dummyfunction("iferror(1000+INT(($N$2-(index(split(D63,"":""),1)*60+index(split(D63,"":""),2 )))/0.2+1)*$N$3,"""")"),"")</f>
        <v/>
      </c>
      <c r="F63" s="16" t="str">
        <f t="shared" ca="1" si="5"/>
        <v/>
      </c>
      <c r="G63" s="16"/>
      <c r="H63" s="22" t="str">
        <f ca="1">IFERROR(__xludf.dummyfunction("iferror(1000+INT(($N$4-(index(split(G63,"":""),1)*60+index(split(G63,"":""),2 )))/0.2+1)*$N$5,"""")"),"")</f>
        <v/>
      </c>
      <c r="I63" s="16" t="str">
        <f t="shared" ca="1" si="6"/>
        <v/>
      </c>
      <c r="J63" s="16" t="str">
        <f t="shared" si="7"/>
        <v/>
      </c>
      <c r="K63" s="16" t="str">
        <f t="shared" si="8"/>
        <v/>
      </c>
      <c r="L63" s="16"/>
    </row>
    <row r="64" spans="1:12" ht="14.5" x14ac:dyDescent="0.35">
      <c r="A64" s="16"/>
      <c r="B64" s="16"/>
      <c r="C64" s="16"/>
      <c r="D64" s="16"/>
      <c r="E64" s="22" t="str">
        <f ca="1">IFERROR(__xludf.dummyfunction("iferror(1000+INT(($N$2-(index(split(D64,"":""),1)*60+index(split(D64,"":""),2 )))/0.2+1)*$N$3,"""")"),"")</f>
        <v/>
      </c>
      <c r="F64" s="16" t="str">
        <f t="shared" ca="1" si="5"/>
        <v/>
      </c>
      <c r="G64" s="16"/>
      <c r="H64" s="22" t="str">
        <f ca="1">IFERROR(__xludf.dummyfunction("iferror(1000+INT(($N$4-(index(split(G64,"":""),1)*60+index(split(G64,"":""),2 )))/0.2+1)*$N$5,"""")"),"")</f>
        <v/>
      </c>
      <c r="I64" s="16" t="str">
        <f t="shared" ca="1" si="6"/>
        <v/>
      </c>
      <c r="J64" s="16" t="str">
        <f t="shared" si="7"/>
        <v/>
      </c>
      <c r="K64" s="16" t="str">
        <f t="shared" si="8"/>
        <v/>
      </c>
      <c r="L64" s="16"/>
    </row>
    <row r="65" spans="1:12" ht="14.5" x14ac:dyDescent="0.35">
      <c r="A65" s="16"/>
      <c r="B65" s="16"/>
      <c r="C65" s="16"/>
      <c r="D65" s="16"/>
      <c r="E65" s="22" t="str">
        <f ca="1">IFERROR(__xludf.dummyfunction("iferror(1000+INT(($N$2-(index(split(D65,"":""),1)*60+index(split(D65,"":""),2 )))/0.2+1)*$N$3,"""")"),"")</f>
        <v/>
      </c>
      <c r="F65" s="16" t="str">
        <f t="shared" ca="1" si="5"/>
        <v/>
      </c>
      <c r="G65" s="16"/>
      <c r="H65" s="22" t="str">
        <f ca="1">IFERROR(__xludf.dummyfunction("iferror(1000+INT(($N$4-(index(split(G65,"":""),1)*60+index(split(G65,"":""),2 )))/0.2+1)*$N$5,"""")"),"")</f>
        <v/>
      </c>
      <c r="I65" s="16" t="str">
        <f t="shared" ca="1" si="6"/>
        <v/>
      </c>
      <c r="J65" s="16" t="str">
        <f t="shared" si="7"/>
        <v/>
      </c>
      <c r="K65" s="16" t="str">
        <f t="shared" si="8"/>
        <v/>
      </c>
      <c r="L65" s="16"/>
    </row>
    <row r="66" spans="1:12" ht="14.5" x14ac:dyDescent="0.35">
      <c r="A66" s="16"/>
      <c r="B66" s="16"/>
      <c r="C66" s="16"/>
      <c r="D66" s="16"/>
      <c r="E66" s="22" t="str">
        <f ca="1">IFERROR(__xludf.dummyfunction("iferror(1000+INT(($N$2-(index(split(D66,"":""),1)*60+index(split(D66,"":""),2 )))/0.2+1)*$N$3,"""")"),"")</f>
        <v/>
      </c>
      <c r="F66" s="16" t="str">
        <f t="shared" ref="F66:F97" ca="1" si="9">IFERROR(_xlfn.RANK.EQ(E66,E:E),"")</f>
        <v/>
      </c>
      <c r="G66" s="16"/>
      <c r="H66" s="22" t="str">
        <f ca="1">IFERROR(__xludf.dummyfunction("iferror(1000+INT(($N$4-(index(split(G66,"":""),1)*60+index(split(G66,"":""),2 )))/0.2+1)*$N$5,"""")"),"")</f>
        <v/>
      </c>
      <c r="I66" s="16" t="str">
        <f t="shared" ref="I66:I97" ca="1" si="10">IFERROR(_xlfn.RANK.EQ(H66,H:H),"")</f>
        <v/>
      </c>
      <c r="J66" s="16" t="str">
        <f t="shared" ref="J66:J100" si="11">IF(AND(D66="", G66=""), "", E66+H66)</f>
        <v/>
      </c>
      <c r="K66" s="16" t="str">
        <f t="shared" ref="K66:K97" si="12">IFERROR(_xlfn.RANK.EQ(J66,J:J),"")</f>
        <v/>
      </c>
      <c r="L66" s="16"/>
    </row>
    <row r="67" spans="1:12" ht="14.5" x14ac:dyDescent="0.35">
      <c r="A67" s="16"/>
      <c r="B67" s="16"/>
      <c r="C67" s="16"/>
      <c r="D67" s="16"/>
      <c r="E67" s="22" t="str">
        <f ca="1">IFERROR(__xludf.dummyfunction("iferror(1000+INT(($N$2-(index(split(D67,"":""),1)*60+index(split(D67,"":""),2 )))/0.2+1)*$N$3,"""")"),"")</f>
        <v/>
      </c>
      <c r="F67" s="16" t="str">
        <f t="shared" ca="1" si="9"/>
        <v/>
      </c>
      <c r="G67" s="16"/>
      <c r="H67" s="22" t="str">
        <f ca="1">IFERROR(__xludf.dummyfunction("iferror(1000+INT(($N$4-(index(split(G67,"":""),1)*60+index(split(G67,"":""),2 )))/0.2+1)*$N$5,"""")"),"")</f>
        <v/>
      </c>
      <c r="I67" s="16" t="str">
        <f t="shared" ca="1" si="10"/>
        <v/>
      </c>
      <c r="J67" s="16" t="str">
        <f t="shared" si="11"/>
        <v/>
      </c>
      <c r="K67" s="16" t="str">
        <f t="shared" si="12"/>
        <v/>
      </c>
      <c r="L67" s="16"/>
    </row>
    <row r="68" spans="1:12" ht="14.5" x14ac:dyDescent="0.35">
      <c r="A68" s="16"/>
      <c r="B68" s="16"/>
      <c r="C68" s="16"/>
      <c r="D68" s="16"/>
      <c r="E68" s="22" t="str">
        <f ca="1">IFERROR(__xludf.dummyfunction("iferror(1000+INT(($N$2-(index(split(D68,"":""),1)*60+index(split(D68,"":""),2 )))/0.2+1)*$N$3,"""")"),"")</f>
        <v/>
      </c>
      <c r="F68" s="16" t="str">
        <f t="shared" ca="1" si="9"/>
        <v/>
      </c>
      <c r="G68" s="16"/>
      <c r="H68" s="22" t="str">
        <f ca="1">IFERROR(__xludf.dummyfunction("iferror(1000+INT(($N$4-(index(split(G68,"":""),1)*60+index(split(G68,"":""),2 )))/0.2+1)*$N$5,"""")"),"")</f>
        <v/>
      </c>
      <c r="I68" s="16" t="str">
        <f t="shared" ca="1" si="10"/>
        <v/>
      </c>
      <c r="J68" s="16" t="str">
        <f t="shared" si="11"/>
        <v/>
      </c>
      <c r="K68" s="16" t="str">
        <f t="shared" si="12"/>
        <v/>
      </c>
      <c r="L68" s="16"/>
    </row>
    <row r="69" spans="1:12" ht="14.5" x14ac:dyDescent="0.35">
      <c r="A69" s="16"/>
      <c r="B69" s="16"/>
      <c r="C69" s="16"/>
      <c r="D69" s="16"/>
      <c r="E69" s="22" t="str">
        <f ca="1">IFERROR(__xludf.dummyfunction("iferror(1000+INT(($N$2-(index(split(D69,"":""),1)*60+index(split(D69,"":""),2 )))/0.2+1)*$N$3,"""")"),"")</f>
        <v/>
      </c>
      <c r="F69" s="16" t="str">
        <f t="shared" ca="1" si="9"/>
        <v/>
      </c>
      <c r="G69" s="16"/>
      <c r="H69" s="22" t="str">
        <f ca="1">IFERROR(__xludf.dummyfunction("iferror(1000+INT(($N$4-(index(split(G69,"":""),1)*60+index(split(G69,"":""),2 )))/0.2+1)*$N$5,"""")"),"")</f>
        <v/>
      </c>
      <c r="I69" s="16" t="str">
        <f t="shared" ca="1" si="10"/>
        <v/>
      </c>
      <c r="J69" s="16" t="str">
        <f t="shared" si="11"/>
        <v/>
      </c>
      <c r="K69" s="16" t="str">
        <f t="shared" si="12"/>
        <v/>
      </c>
      <c r="L69" s="16"/>
    </row>
    <row r="70" spans="1:12" ht="14.5" x14ac:dyDescent="0.35">
      <c r="A70" s="16"/>
      <c r="B70" s="16"/>
      <c r="C70" s="16"/>
      <c r="D70" s="16"/>
      <c r="E70" s="22" t="str">
        <f ca="1">IFERROR(__xludf.dummyfunction("iferror(1000+INT(($N$2-(index(split(D70,"":""),1)*60+index(split(D70,"":""),2 )))/0.2+1)*$N$3,"""")"),"")</f>
        <v/>
      </c>
      <c r="F70" s="16" t="str">
        <f t="shared" ca="1" si="9"/>
        <v/>
      </c>
      <c r="G70" s="16"/>
      <c r="H70" s="22" t="str">
        <f ca="1">IFERROR(__xludf.dummyfunction("iferror(1000+INT(($N$4-(index(split(G70,"":""),1)*60+index(split(G70,"":""),2 )))/0.2+1)*$N$5,"""")"),"")</f>
        <v/>
      </c>
      <c r="I70" s="16" t="str">
        <f t="shared" ca="1" si="10"/>
        <v/>
      </c>
      <c r="J70" s="16" t="str">
        <f t="shared" si="11"/>
        <v/>
      </c>
      <c r="K70" s="16" t="str">
        <f t="shared" si="12"/>
        <v/>
      </c>
      <c r="L70" s="16"/>
    </row>
    <row r="71" spans="1:12" ht="14.5" x14ac:dyDescent="0.35">
      <c r="A71" s="16"/>
      <c r="B71" s="16"/>
      <c r="C71" s="16"/>
      <c r="D71" s="16"/>
      <c r="E71" s="22" t="str">
        <f ca="1">IFERROR(__xludf.dummyfunction("iferror(1000+INT(($N$2-(index(split(D71,"":""),1)*60+index(split(D71,"":""),2 )))/0.2+1)*$N$3,"""")"),"")</f>
        <v/>
      </c>
      <c r="F71" s="16" t="str">
        <f t="shared" ca="1" si="9"/>
        <v/>
      </c>
      <c r="G71" s="16"/>
      <c r="H71" s="22" t="str">
        <f ca="1">IFERROR(__xludf.dummyfunction("iferror(1000+INT(($N$4-(index(split(G71,"":""),1)*60+index(split(G71,"":""),2 )))/0.2+1)*$N$5,"""")"),"")</f>
        <v/>
      </c>
      <c r="I71" s="16" t="str">
        <f t="shared" ca="1" si="10"/>
        <v/>
      </c>
      <c r="J71" s="16" t="str">
        <f t="shared" si="11"/>
        <v/>
      </c>
      <c r="K71" s="16" t="str">
        <f t="shared" si="12"/>
        <v/>
      </c>
      <c r="L71" s="16"/>
    </row>
    <row r="72" spans="1:12" ht="14.5" x14ac:dyDescent="0.35">
      <c r="A72" s="16"/>
      <c r="B72" s="16"/>
      <c r="C72" s="16"/>
      <c r="D72" s="16"/>
      <c r="E72" s="22" t="str">
        <f ca="1">IFERROR(__xludf.dummyfunction("iferror(1000+INT(($N$2-(index(split(D72,"":""),1)*60+index(split(D72,"":""),2 )))/0.2+1)*$N$3,"""")"),"")</f>
        <v/>
      </c>
      <c r="F72" s="16" t="str">
        <f t="shared" ca="1" si="9"/>
        <v/>
      </c>
      <c r="G72" s="16"/>
      <c r="H72" s="22" t="str">
        <f ca="1">IFERROR(__xludf.dummyfunction("iferror(1000+INT(($N$4-(index(split(G72,"":""),1)*60+index(split(G72,"":""),2 )))/0.2+1)*$N$5,"""")"),"")</f>
        <v/>
      </c>
      <c r="I72" s="16" t="str">
        <f t="shared" ca="1" si="10"/>
        <v/>
      </c>
      <c r="J72" s="16" t="str">
        <f t="shared" si="11"/>
        <v/>
      </c>
      <c r="K72" s="16" t="str">
        <f t="shared" si="12"/>
        <v/>
      </c>
      <c r="L72" s="16"/>
    </row>
    <row r="73" spans="1:12" ht="14.5" x14ac:dyDescent="0.35">
      <c r="A73" s="16"/>
      <c r="B73" s="16"/>
      <c r="C73" s="16"/>
      <c r="D73" s="16"/>
      <c r="E73" s="22" t="str">
        <f ca="1">IFERROR(__xludf.dummyfunction("iferror(1000+INT(($N$2-(index(split(D73,"":""),1)*60+index(split(D73,"":""),2 )))/0.2+1)*$N$3,"""")"),"")</f>
        <v/>
      </c>
      <c r="F73" s="16" t="str">
        <f t="shared" ca="1" si="9"/>
        <v/>
      </c>
      <c r="G73" s="16"/>
      <c r="H73" s="22" t="str">
        <f ca="1">IFERROR(__xludf.dummyfunction("iferror(1000+INT(($N$4-(index(split(G73,"":""),1)*60+index(split(G73,"":""),2 )))/0.2+1)*$N$5,"""")"),"")</f>
        <v/>
      </c>
      <c r="I73" s="16" t="str">
        <f t="shared" ca="1" si="10"/>
        <v/>
      </c>
      <c r="J73" s="16" t="str">
        <f t="shared" si="11"/>
        <v/>
      </c>
      <c r="K73" s="16" t="str">
        <f t="shared" si="12"/>
        <v/>
      </c>
      <c r="L73" s="16"/>
    </row>
    <row r="74" spans="1:12" ht="14.5" x14ac:dyDescent="0.35">
      <c r="A74" s="16"/>
      <c r="B74" s="16"/>
      <c r="C74" s="16"/>
      <c r="D74" s="16"/>
      <c r="E74" s="22" t="str">
        <f ca="1">IFERROR(__xludf.dummyfunction("iferror(1000+INT(($N$2-(index(split(D74,"":""),1)*60+index(split(D74,"":""),2 )))/0.2+1)*$N$3,"""")"),"")</f>
        <v/>
      </c>
      <c r="F74" s="16" t="str">
        <f t="shared" ca="1" si="9"/>
        <v/>
      </c>
      <c r="G74" s="16"/>
      <c r="H74" s="22" t="str">
        <f ca="1">IFERROR(__xludf.dummyfunction("iferror(1000+INT(($N$4-(index(split(G74,"":""),1)*60+index(split(G74,"":""),2 )))/0.2+1)*$N$5,"""")"),"")</f>
        <v/>
      </c>
      <c r="I74" s="16" t="str">
        <f t="shared" ca="1" si="10"/>
        <v/>
      </c>
      <c r="J74" s="16" t="str">
        <f t="shared" si="11"/>
        <v/>
      </c>
      <c r="K74" s="16" t="str">
        <f t="shared" si="12"/>
        <v/>
      </c>
      <c r="L74" s="16"/>
    </row>
    <row r="75" spans="1:12" ht="14.5" x14ac:dyDescent="0.35">
      <c r="A75" s="16"/>
      <c r="B75" s="16"/>
      <c r="C75" s="16"/>
      <c r="D75" s="16"/>
      <c r="E75" s="22" t="str">
        <f ca="1">IFERROR(__xludf.dummyfunction("iferror(1000+INT(($N$2-(index(split(D75,"":""),1)*60+index(split(D75,"":""),2 )))/0.2+1)*$N$3,"""")"),"")</f>
        <v/>
      </c>
      <c r="F75" s="16" t="str">
        <f t="shared" ca="1" si="9"/>
        <v/>
      </c>
      <c r="G75" s="16"/>
      <c r="H75" s="22" t="str">
        <f ca="1">IFERROR(__xludf.dummyfunction("iferror(1000+INT(($N$4-(index(split(G75,"":""),1)*60+index(split(G75,"":""),2 )))/0.2+1)*$N$5,"""")"),"")</f>
        <v/>
      </c>
      <c r="I75" s="16" t="str">
        <f t="shared" ca="1" si="10"/>
        <v/>
      </c>
      <c r="J75" s="16" t="str">
        <f t="shared" si="11"/>
        <v/>
      </c>
      <c r="K75" s="16" t="str">
        <f t="shared" si="12"/>
        <v/>
      </c>
      <c r="L75" s="16"/>
    </row>
    <row r="76" spans="1:12" ht="14.5" x14ac:dyDescent="0.35">
      <c r="A76" s="16"/>
      <c r="B76" s="16"/>
      <c r="C76" s="16"/>
      <c r="D76" s="16"/>
      <c r="E76" s="22" t="str">
        <f ca="1">IFERROR(__xludf.dummyfunction("iferror(1000+INT(($N$2-(index(split(D76,"":""),1)*60+index(split(D76,"":""),2 )))/0.2+1)*$N$3,"""")"),"")</f>
        <v/>
      </c>
      <c r="F76" s="16" t="str">
        <f t="shared" ca="1" si="9"/>
        <v/>
      </c>
      <c r="G76" s="16"/>
      <c r="H76" s="22" t="str">
        <f ca="1">IFERROR(__xludf.dummyfunction("iferror(1000+INT(($N$4-(index(split(G76,"":""),1)*60+index(split(G76,"":""),2 )))/0.2+1)*$N$5,"""")"),"")</f>
        <v/>
      </c>
      <c r="I76" s="16" t="str">
        <f t="shared" ca="1" si="10"/>
        <v/>
      </c>
      <c r="J76" s="16" t="str">
        <f t="shared" si="11"/>
        <v/>
      </c>
      <c r="K76" s="16" t="str">
        <f t="shared" si="12"/>
        <v/>
      </c>
      <c r="L76" s="16"/>
    </row>
    <row r="77" spans="1:12" ht="14.5" x14ac:dyDescent="0.35">
      <c r="A77" s="16"/>
      <c r="B77" s="16"/>
      <c r="C77" s="16"/>
      <c r="D77" s="16"/>
      <c r="E77" s="22" t="str">
        <f ca="1">IFERROR(__xludf.dummyfunction("iferror(1000+INT(($N$2-(index(split(D77,"":""),1)*60+index(split(D77,"":""),2 )))/0.2+1)*$N$3,"""")"),"")</f>
        <v/>
      </c>
      <c r="F77" s="16" t="str">
        <f t="shared" ca="1" si="9"/>
        <v/>
      </c>
      <c r="G77" s="16"/>
      <c r="H77" s="22" t="str">
        <f ca="1">IFERROR(__xludf.dummyfunction("iferror(1000+INT(($N$4-(index(split(G77,"":""),1)*60+index(split(G77,"":""),2 )))/0.2+1)*$N$5,"""")"),"")</f>
        <v/>
      </c>
      <c r="I77" s="16" t="str">
        <f t="shared" ca="1" si="10"/>
        <v/>
      </c>
      <c r="J77" s="16" t="str">
        <f t="shared" si="11"/>
        <v/>
      </c>
      <c r="K77" s="16" t="str">
        <f t="shared" si="12"/>
        <v/>
      </c>
      <c r="L77" s="16"/>
    </row>
    <row r="78" spans="1:12" ht="14.5" x14ac:dyDescent="0.35">
      <c r="A78" s="16"/>
      <c r="B78" s="16"/>
      <c r="C78" s="16"/>
      <c r="D78" s="16"/>
      <c r="E78" s="22" t="str">
        <f ca="1">IFERROR(__xludf.dummyfunction("iferror(1000+INT(($N$2-(index(split(D78,"":""),1)*60+index(split(D78,"":""),2 )))/0.2+1)*$N$3,"""")"),"")</f>
        <v/>
      </c>
      <c r="F78" s="16" t="str">
        <f t="shared" ca="1" si="9"/>
        <v/>
      </c>
      <c r="G78" s="16"/>
      <c r="H78" s="22" t="str">
        <f ca="1">IFERROR(__xludf.dummyfunction("iferror(1000+INT(($N$4-(index(split(G78,"":""),1)*60+index(split(G78,"":""),2 )))/0.2+1)*$N$5,"""")"),"")</f>
        <v/>
      </c>
      <c r="I78" s="16" t="str">
        <f t="shared" ca="1" si="10"/>
        <v/>
      </c>
      <c r="J78" s="16" t="str">
        <f t="shared" si="11"/>
        <v/>
      </c>
      <c r="K78" s="16" t="str">
        <f t="shared" si="12"/>
        <v/>
      </c>
      <c r="L78" s="16"/>
    </row>
    <row r="79" spans="1:12" ht="14.5" x14ac:dyDescent="0.35">
      <c r="A79" s="16"/>
      <c r="B79" s="16"/>
      <c r="C79" s="16"/>
      <c r="D79" s="16"/>
      <c r="E79" s="22" t="str">
        <f ca="1">IFERROR(__xludf.dummyfunction("iferror(1000+INT(($N$2-(index(split(D79,"":""),1)*60+index(split(D79,"":""),2 )))/0.2+1)*$N$3,"""")"),"")</f>
        <v/>
      </c>
      <c r="F79" s="16" t="str">
        <f t="shared" ca="1" si="9"/>
        <v/>
      </c>
      <c r="G79" s="16"/>
      <c r="H79" s="22" t="str">
        <f ca="1">IFERROR(__xludf.dummyfunction("iferror(1000+INT(($N$4-(index(split(G79,"":""),1)*60+index(split(G79,"":""),2 )))/0.2+1)*$N$5,"""")"),"")</f>
        <v/>
      </c>
      <c r="I79" s="16" t="str">
        <f t="shared" ca="1" si="10"/>
        <v/>
      </c>
      <c r="J79" s="16" t="str">
        <f t="shared" si="11"/>
        <v/>
      </c>
      <c r="K79" s="16" t="str">
        <f t="shared" si="12"/>
        <v/>
      </c>
      <c r="L79" s="16"/>
    </row>
    <row r="80" spans="1:12" ht="14.5" x14ac:dyDescent="0.35">
      <c r="A80" s="16"/>
      <c r="B80" s="16"/>
      <c r="C80" s="16"/>
      <c r="D80" s="16"/>
      <c r="E80" s="22" t="str">
        <f ca="1">IFERROR(__xludf.dummyfunction("iferror(1000+INT(($N$2-(index(split(D80,"":""),1)*60+index(split(D80,"":""),2 )))/0.2+1)*$N$3,"""")"),"")</f>
        <v/>
      </c>
      <c r="F80" s="16" t="str">
        <f t="shared" ca="1" si="9"/>
        <v/>
      </c>
      <c r="G80" s="16"/>
      <c r="H80" s="22" t="str">
        <f ca="1">IFERROR(__xludf.dummyfunction("iferror(1000+INT(($N$4-(index(split(G80,"":""),1)*60+index(split(G80,"":""),2 )))/0.2+1)*$N$5,"""")"),"")</f>
        <v/>
      </c>
      <c r="I80" s="16" t="str">
        <f t="shared" ca="1" si="10"/>
        <v/>
      </c>
      <c r="J80" s="16" t="str">
        <f t="shared" si="11"/>
        <v/>
      </c>
      <c r="K80" s="16" t="str">
        <f t="shared" si="12"/>
        <v/>
      </c>
      <c r="L80" s="16"/>
    </row>
    <row r="81" spans="1:12" ht="14.5" x14ac:dyDescent="0.35">
      <c r="A81" s="16"/>
      <c r="B81" s="16"/>
      <c r="C81" s="16"/>
      <c r="D81" s="16"/>
      <c r="E81" s="22" t="str">
        <f ca="1">IFERROR(__xludf.dummyfunction("iferror(1000+INT(($N$2-(index(split(D81,"":""),1)*60+index(split(D81,"":""),2 )))/0.2+1)*$N$3,"""")"),"")</f>
        <v/>
      </c>
      <c r="F81" s="16" t="str">
        <f t="shared" ca="1" si="9"/>
        <v/>
      </c>
      <c r="G81" s="16"/>
      <c r="H81" s="22" t="str">
        <f ca="1">IFERROR(__xludf.dummyfunction("iferror(1000+INT(($N$4-(index(split(G81,"":""),1)*60+index(split(G81,"":""),2 )))/0.2+1)*$N$5,"""")"),"")</f>
        <v/>
      </c>
      <c r="I81" s="16" t="str">
        <f t="shared" ca="1" si="10"/>
        <v/>
      </c>
      <c r="J81" s="16" t="str">
        <f t="shared" si="11"/>
        <v/>
      </c>
      <c r="K81" s="16" t="str">
        <f t="shared" si="12"/>
        <v/>
      </c>
      <c r="L81" s="16"/>
    </row>
    <row r="82" spans="1:12" ht="14.5" x14ac:dyDescent="0.35">
      <c r="A82" s="16"/>
      <c r="B82" s="16"/>
      <c r="C82" s="16"/>
      <c r="D82" s="16"/>
      <c r="E82" s="22" t="str">
        <f ca="1">IFERROR(__xludf.dummyfunction("iferror(1000+INT(($N$2-(index(split(D82,"":""),1)*60+index(split(D82,"":""),2 )))/0.2+1)*$N$3,"""")"),"")</f>
        <v/>
      </c>
      <c r="F82" s="16" t="str">
        <f t="shared" ca="1" si="9"/>
        <v/>
      </c>
      <c r="G82" s="16"/>
      <c r="H82" s="22" t="str">
        <f ca="1">IFERROR(__xludf.dummyfunction("iferror(1000+INT(($N$4-(index(split(G82,"":""),1)*60+index(split(G82,"":""),2 )))/0.2+1)*$N$5,"""")"),"")</f>
        <v/>
      </c>
      <c r="I82" s="16" t="str">
        <f t="shared" ca="1" si="10"/>
        <v/>
      </c>
      <c r="J82" s="16" t="str">
        <f t="shared" si="11"/>
        <v/>
      </c>
      <c r="K82" s="16" t="str">
        <f t="shared" si="12"/>
        <v/>
      </c>
      <c r="L82" s="16"/>
    </row>
    <row r="83" spans="1:12" ht="14.5" x14ac:dyDescent="0.35">
      <c r="A83" s="16"/>
      <c r="B83" s="16"/>
      <c r="C83" s="16"/>
      <c r="D83" s="16"/>
      <c r="E83" s="22" t="str">
        <f ca="1">IFERROR(__xludf.dummyfunction("iferror(1000+INT(($N$2-(index(split(D83,"":""),1)*60+index(split(D83,"":""),2 )))/0.2+1)*$N$3,"""")"),"")</f>
        <v/>
      </c>
      <c r="F83" s="16" t="str">
        <f t="shared" ca="1" si="9"/>
        <v/>
      </c>
      <c r="G83" s="16"/>
      <c r="H83" s="22" t="str">
        <f ca="1">IFERROR(__xludf.dummyfunction("iferror(1000+INT(($N$4-(index(split(G83,"":""),1)*60+index(split(G83,"":""),2 )))/0.2+1)*$N$5,"""")"),"")</f>
        <v/>
      </c>
      <c r="I83" s="16" t="str">
        <f t="shared" ca="1" si="10"/>
        <v/>
      </c>
      <c r="J83" s="16" t="str">
        <f t="shared" si="11"/>
        <v/>
      </c>
      <c r="K83" s="16" t="str">
        <f t="shared" si="12"/>
        <v/>
      </c>
      <c r="L83" s="16"/>
    </row>
    <row r="84" spans="1:12" ht="14.5" x14ac:dyDescent="0.35">
      <c r="A84" s="16"/>
      <c r="B84" s="16"/>
      <c r="C84" s="16"/>
      <c r="D84" s="16"/>
      <c r="E84" s="22" t="str">
        <f ca="1">IFERROR(__xludf.dummyfunction("iferror(1000+INT(($N$2-(index(split(D84,"":""),1)*60+index(split(D84,"":""),2 )))/0.2+1)*$N$3,"""")"),"")</f>
        <v/>
      </c>
      <c r="F84" s="16" t="str">
        <f t="shared" ca="1" si="9"/>
        <v/>
      </c>
      <c r="G84" s="16"/>
      <c r="H84" s="22" t="str">
        <f ca="1">IFERROR(__xludf.dummyfunction("iferror(1000+INT(($N$4-(index(split(G84,"":""),1)*60+index(split(G84,"":""),2 )))/0.2+1)*$N$5,"""")"),"")</f>
        <v/>
      </c>
      <c r="I84" s="16" t="str">
        <f t="shared" ca="1" si="10"/>
        <v/>
      </c>
      <c r="J84" s="16" t="str">
        <f t="shared" si="11"/>
        <v/>
      </c>
      <c r="K84" s="16" t="str">
        <f t="shared" si="12"/>
        <v/>
      </c>
      <c r="L84" s="16"/>
    </row>
    <row r="85" spans="1:12" ht="14.5" x14ac:dyDescent="0.35">
      <c r="A85" s="16"/>
      <c r="B85" s="16"/>
      <c r="C85" s="16"/>
      <c r="D85" s="16"/>
      <c r="E85" s="22" t="str">
        <f ca="1">IFERROR(__xludf.dummyfunction("iferror(1000+INT(($N$2-(index(split(D85,"":""),1)*60+index(split(D85,"":""),2 )))/0.2+1)*$N$3,"""")"),"")</f>
        <v/>
      </c>
      <c r="F85" s="16" t="str">
        <f t="shared" ca="1" si="9"/>
        <v/>
      </c>
      <c r="G85" s="16"/>
      <c r="H85" s="22" t="str">
        <f ca="1">IFERROR(__xludf.dummyfunction("iferror(1000+INT(($N$4-(index(split(G85,"":""),1)*60+index(split(G85,"":""),2 )))/0.2+1)*$N$5,"""")"),"")</f>
        <v/>
      </c>
      <c r="I85" s="16" t="str">
        <f t="shared" ca="1" si="10"/>
        <v/>
      </c>
      <c r="J85" s="16" t="str">
        <f t="shared" si="11"/>
        <v/>
      </c>
      <c r="K85" s="16" t="str">
        <f t="shared" si="12"/>
        <v/>
      </c>
      <c r="L85" s="16"/>
    </row>
    <row r="86" spans="1:12" ht="14.5" x14ac:dyDescent="0.35">
      <c r="A86" s="16"/>
      <c r="B86" s="16"/>
      <c r="C86" s="16"/>
      <c r="D86" s="16"/>
      <c r="E86" s="22" t="str">
        <f ca="1">IFERROR(__xludf.dummyfunction("iferror(1000+INT(($N$2-(index(split(D86,"":""),1)*60+index(split(D86,"":""),2 )))/0.2+1)*$N$3,"""")"),"")</f>
        <v/>
      </c>
      <c r="F86" s="16" t="str">
        <f t="shared" ca="1" si="9"/>
        <v/>
      </c>
      <c r="G86" s="16"/>
      <c r="H86" s="22" t="str">
        <f ca="1">IFERROR(__xludf.dummyfunction("iferror(1000+INT(($N$4-(index(split(G86,"":""),1)*60+index(split(G86,"":""),2 )))/0.2+1)*$N$5,"""")"),"")</f>
        <v/>
      </c>
      <c r="I86" s="16" t="str">
        <f t="shared" ca="1" si="10"/>
        <v/>
      </c>
      <c r="J86" s="16" t="str">
        <f t="shared" si="11"/>
        <v/>
      </c>
      <c r="K86" s="16" t="str">
        <f t="shared" si="12"/>
        <v/>
      </c>
      <c r="L86" s="16"/>
    </row>
    <row r="87" spans="1:12" ht="14.5" x14ac:dyDescent="0.35">
      <c r="A87" s="16"/>
      <c r="B87" s="16"/>
      <c r="C87" s="16"/>
      <c r="D87" s="16"/>
      <c r="E87" s="22" t="str">
        <f ca="1">IFERROR(__xludf.dummyfunction("iferror(1000+INT(($N$2-(index(split(D87,"":""),1)*60+index(split(D87,"":""),2 )))/0.2+1)*$N$3,"""")"),"")</f>
        <v/>
      </c>
      <c r="F87" s="16" t="str">
        <f t="shared" ca="1" si="9"/>
        <v/>
      </c>
      <c r="G87" s="16"/>
      <c r="H87" s="22" t="str">
        <f ca="1">IFERROR(__xludf.dummyfunction("iferror(1000+INT(($N$4-(index(split(G87,"":""),1)*60+index(split(G87,"":""),2 )))/0.2+1)*$N$5,"""")"),"")</f>
        <v/>
      </c>
      <c r="I87" s="16" t="str">
        <f t="shared" ca="1" si="10"/>
        <v/>
      </c>
      <c r="J87" s="16" t="str">
        <f t="shared" si="11"/>
        <v/>
      </c>
      <c r="K87" s="16" t="str">
        <f t="shared" si="12"/>
        <v/>
      </c>
      <c r="L87" s="16"/>
    </row>
    <row r="88" spans="1:12" ht="14.5" x14ac:dyDescent="0.35">
      <c r="A88" s="16"/>
      <c r="B88" s="16"/>
      <c r="C88" s="16"/>
      <c r="D88" s="16"/>
      <c r="E88" s="22" t="str">
        <f ca="1">IFERROR(__xludf.dummyfunction("iferror(1000+INT(($N$2-(index(split(D88,"":""),1)*60+index(split(D88,"":""),2 )))/0.2+1)*$N$3,"""")"),"")</f>
        <v/>
      </c>
      <c r="F88" s="16" t="str">
        <f t="shared" ca="1" si="9"/>
        <v/>
      </c>
      <c r="G88" s="16"/>
      <c r="H88" s="22" t="str">
        <f ca="1">IFERROR(__xludf.dummyfunction("iferror(1000+INT(($N$4-(index(split(G88,"":""),1)*60+index(split(G88,"":""),2 )))/0.2+1)*$N$5,"""")"),"")</f>
        <v/>
      </c>
      <c r="I88" s="16" t="str">
        <f t="shared" ca="1" si="10"/>
        <v/>
      </c>
      <c r="J88" s="16" t="str">
        <f t="shared" si="11"/>
        <v/>
      </c>
      <c r="K88" s="16" t="str">
        <f t="shared" si="12"/>
        <v/>
      </c>
      <c r="L88" s="16"/>
    </row>
    <row r="89" spans="1:12" ht="14.5" x14ac:dyDescent="0.35">
      <c r="A89" s="16"/>
      <c r="B89" s="16"/>
      <c r="C89" s="16"/>
      <c r="D89" s="16"/>
      <c r="E89" s="22" t="str">
        <f ca="1">IFERROR(__xludf.dummyfunction("iferror(1000+INT(($N$2-(index(split(D89,"":""),1)*60+index(split(D89,"":""),2 )))/0.2+1)*$N$3,"""")"),"")</f>
        <v/>
      </c>
      <c r="F89" s="16" t="str">
        <f t="shared" ca="1" si="9"/>
        <v/>
      </c>
      <c r="G89" s="16"/>
      <c r="H89" s="22" t="str">
        <f ca="1">IFERROR(__xludf.dummyfunction("iferror(1000+INT(($N$4-(index(split(G89,"":""),1)*60+index(split(G89,"":""),2 )))/0.2+1)*$N$5,"""")"),"")</f>
        <v/>
      </c>
      <c r="I89" s="16" t="str">
        <f t="shared" ca="1" si="10"/>
        <v/>
      </c>
      <c r="J89" s="16" t="str">
        <f t="shared" si="11"/>
        <v/>
      </c>
      <c r="K89" s="16" t="str">
        <f t="shared" si="12"/>
        <v/>
      </c>
      <c r="L89" s="16"/>
    </row>
    <row r="90" spans="1:12" ht="14.5" x14ac:dyDescent="0.35">
      <c r="A90" s="16"/>
      <c r="B90" s="16"/>
      <c r="C90" s="16"/>
      <c r="D90" s="16"/>
      <c r="E90" s="22" t="str">
        <f ca="1">IFERROR(__xludf.dummyfunction("iferror(1000+INT(($N$2-(index(split(D90,"":""),1)*60+index(split(D90,"":""),2 )))/0.2+1)*$N$3,"""")"),"")</f>
        <v/>
      </c>
      <c r="F90" s="16" t="str">
        <f t="shared" ca="1" si="9"/>
        <v/>
      </c>
      <c r="G90" s="16"/>
      <c r="H90" s="22" t="str">
        <f ca="1">IFERROR(__xludf.dummyfunction("iferror(1000+INT(($N$4-(index(split(G90,"":""),1)*60+index(split(G90,"":""),2 )))/0.2+1)*$N$5,"""")"),"")</f>
        <v/>
      </c>
      <c r="I90" s="16" t="str">
        <f t="shared" ca="1" si="10"/>
        <v/>
      </c>
      <c r="J90" s="16" t="str">
        <f t="shared" si="11"/>
        <v/>
      </c>
      <c r="K90" s="16" t="str">
        <f t="shared" si="12"/>
        <v/>
      </c>
      <c r="L90" s="16"/>
    </row>
    <row r="91" spans="1:12" ht="14.5" x14ac:dyDescent="0.35">
      <c r="A91" s="16"/>
      <c r="B91" s="16"/>
      <c r="C91" s="16"/>
      <c r="D91" s="16"/>
      <c r="E91" s="22" t="str">
        <f ca="1">IFERROR(__xludf.dummyfunction("iferror(1000+INT(($N$2-(index(split(D91,"":""),1)*60+index(split(D91,"":""),2 )))/0.2+1)*$N$3,"""")"),"")</f>
        <v/>
      </c>
      <c r="F91" s="16" t="str">
        <f t="shared" ca="1" si="9"/>
        <v/>
      </c>
      <c r="G91" s="16"/>
      <c r="H91" s="22" t="str">
        <f ca="1">IFERROR(__xludf.dummyfunction("iferror(1000+INT(($N$4-(index(split(G91,"":""),1)*60+index(split(G91,"":""),2 )))/0.2+1)*$N$5,"""")"),"")</f>
        <v/>
      </c>
      <c r="I91" s="16" t="str">
        <f t="shared" ca="1" si="10"/>
        <v/>
      </c>
      <c r="J91" s="16" t="str">
        <f t="shared" si="11"/>
        <v/>
      </c>
      <c r="K91" s="16" t="str">
        <f t="shared" si="12"/>
        <v/>
      </c>
      <c r="L91" s="16"/>
    </row>
    <row r="92" spans="1:12" ht="14.5" x14ac:dyDescent="0.35">
      <c r="A92" s="16"/>
      <c r="B92" s="16"/>
      <c r="C92" s="16"/>
      <c r="D92" s="16"/>
      <c r="E92" s="22" t="str">
        <f ca="1">IFERROR(__xludf.dummyfunction("iferror(1000+INT(($N$2-(index(split(D92,"":""),1)*60+index(split(D92,"":""),2 )))/0.2+1)*$N$3,"""")"),"")</f>
        <v/>
      </c>
      <c r="F92" s="16" t="str">
        <f t="shared" ca="1" si="9"/>
        <v/>
      </c>
      <c r="G92" s="16"/>
      <c r="H92" s="22" t="str">
        <f ca="1">IFERROR(__xludf.dummyfunction("iferror(1000+INT(($N$4-(index(split(G92,"":""),1)*60+index(split(G92,"":""),2 )))/0.2+1)*$N$5,"""")"),"")</f>
        <v/>
      </c>
      <c r="I92" s="16" t="str">
        <f t="shared" ca="1" si="10"/>
        <v/>
      </c>
      <c r="J92" s="16" t="str">
        <f t="shared" si="11"/>
        <v/>
      </c>
      <c r="K92" s="16" t="str">
        <f t="shared" si="12"/>
        <v/>
      </c>
      <c r="L92" s="16"/>
    </row>
    <row r="93" spans="1:12" ht="14.5" x14ac:dyDescent="0.35">
      <c r="A93" s="16"/>
      <c r="B93" s="16"/>
      <c r="C93" s="16"/>
      <c r="D93" s="16"/>
      <c r="E93" s="22" t="str">
        <f ca="1">IFERROR(__xludf.dummyfunction("iferror(1000+INT(($N$2-(index(split(D93,"":""),1)*60+index(split(D93,"":""),2 )))/0.2+1)*$N$3,"""")"),"")</f>
        <v/>
      </c>
      <c r="F93" s="16" t="str">
        <f t="shared" ca="1" si="9"/>
        <v/>
      </c>
      <c r="G93" s="16"/>
      <c r="H93" s="22" t="str">
        <f ca="1">IFERROR(__xludf.dummyfunction("iferror(1000+INT(($N$4-(index(split(G93,"":""),1)*60+index(split(G93,"":""),2 )))/0.2+1)*$N$5,"""")"),"")</f>
        <v/>
      </c>
      <c r="I93" s="16" t="str">
        <f t="shared" ca="1" si="10"/>
        <v/>
      </c>
      <c r="J93" s="16" t="str">
        <f t="shared" si="11"/>
        <v/>
      </c>
      <c r="K93" s="16" t="str">
        <f t="shared" si="12"/>
        <v/>
      </c>
      <c r="L93" s="16"/>
    </row>
    <row r="94" spans="1:12" ht="14.5" x14ac:dyDescent="0.35">
      <c r="A94" s="16"/>
      <c r="B94" s="16"/>
      <c r="C94" s="16"/>
      <c r="D94" s="16"/>
      <c r="E94" s="22" t="str">
        <f ca="1">IFERROR(__xludf.dummyfunction("iferror(1000+INT(($N$2-(index(split(D94,"":""),1)*60+index(split(D94,"":""),2 )))/0.2+1)*$N$3,"""")"),"")</f>
        <v/>
      </c>
      <c r="F94" s="16" t="str">
        <f t="shared" ca="1" si="9"/>
        <v/>
      </c>
      <c r="G94" s="16"/>
      <c r="H94" s="22" t="str">
        <f ca="1">IFERROR(__xludf.dummyfunction("iferror(1000+INT(($N$4-(index(split(G94,"":""),1)*60+index(split(G94,"":""),2 )))/0.2+1)*$N$5,"""")"),"")</f>
        <v/>
      </c>
      <c r="I94" s="16" t="str">
        <f t="shared" ca="1" si="10"/>
        <v/>
      </c>
      <c r="J94" s="16" t="str">
        <f t="shared" si="11"/>
        <v/>
      </c>
      <c r="K94" s="16" t="str">
        <f t="shared" si="12"/>
        <v/>
      </c>
      <c r="L94" s="16"/>
    </row>
    <row r="95" spans="1:12" ht="14.5" x14ac:dyDescent="0.35">
      <c r="A95" s="16"/>
      <c r="B95" s="16"/>
      <c r="C95" s="16"/>
      <c r="D95" s="16"/>
      <c r="E95" s="22" t="str">
        <f ca="1">IFERROR(__xludf.dummyfunction("iferror(1000+INT(($N$2-(index(split(D95,"":""),1)*60+index(split(D95,"":""),2 )))/0.2+1)*$N$3,"""")"),"")</f>
        <v/>
      </c>
      <c r="F95" s="16" t="str">
        <f t="shared" ca="1" si="9"/>
        <v/>
      </c>
      <c r="G95" s="16"/>
      <c r="H95" s="22" t="str">
        <f ca="1">IFERROR(__xludf.dummyfunction("iferror(1000+INT(($N$4-(index(split(G95,"":""),1)*60+index(split(G95,"":""),2 )))/0.2+1)*$N$5,"""")"),"")</f>
        <v/>
      </c>
      <c r="I95" s="16" t="str">
        <f t="shared" ca="1" si="10"/>
        <v/>
      </c>
      <c r="J95" s="16" t="str">
        <f t="shared" si="11"/>
        <v/>
      </c>
      <c r="K95" s="16" t="str">
        <f t="shared" si="12"/>
        <v/>
      </c>
      <c r="L95" s="16"/>
    </row>
    <row r="96" spans="1:12" ht="14.5" x14ac:dyDescent="0.35">
      <c r="A96" s="16"/>
      <c r="B96" s="16"/>
      <c r="C96" s="16"/>
      <c r="D96" s="16"/>
      <c r="E96" s="22" t="str">
        <f ca="1">IFERROR(__xludf.dummyfunction("iferror(1000+INT(($N$2-(index(split(D96,"":""),1)*60+index(split(D96,"":""),2 )))/0.2+1)*$N$3,"""")"),"")</f>
        <v/>
      </c>
      <c r="F96" s="16" t="str">
        <f t="shared" ca="1" si="9"/>
        <v/>
      </c>
      <c r="G96" s="16"/>
      <c r="H96" s="22" t="str">
        <f ca="1">IFERROR(__xludf.dummyfunction("iferror(1000+INT(($N$4-(index(split(G96,"":""),1)*60+index(split(G96,"":""),2 )))/0.2+1)*$N$5,"""")"),"")</f>
        <v/>
      </c>
      <c r="I96" s="16" t="str">
        <f t="shared" ca="1" si="10"/>
        <v/>
      </c>
      <c r="J96" s="16" t="str">
        <f t="shared" si="11"/>
        <v/>
      </c>
      <c r="K96" s="16" t="str">
        <f t="shared" si="12"/>
        <v/>
      </c>
      <c r="L96" s="16"/>
    </row>
    <row r="97" spans="1:12" ht="14.5" x14ac:dyDescent="0.35">
      <c r="A97" s="16"/>
      <c r="B97" s="16"/>
      <c r="C97" s="16"/>
      <c r="D97" s="16"/>
      <c r="E97" s="22" t="str">
        <f ca="1">IFERROR(__xludf.dummyfunction("iferror(1000+INT(($N$2-(index(split(D97,"":""),1)*60+index(split(D97,"":""),2 )))/0.2+1)*$N$3,"""")"),"")</f>
        <v/>
      </c>
      <c r="F97" s="16" t="str">
        <f t="shared" ca="1" si="9"/>
        <v/>
      </c>
      <c r="G97" s="16"/>
      <c r="H97" s="22" t="str">
        <f ca="1">IFERROR(__xludf.dummyfunction("iferror(1000+INT(($N$4-(index(split(G97,"":""),1)*60+index(split(G97,"":""),2 )))/0.2+1)*$N$5,"""")"),"")</f>
        <v/>
      </c>
      <c r="I97" s="16" t="str">
        <f t="shared" ca="1" si="10"/>
        <v/>
      </c>
      <c r="J97" s="16" t="str">
        <f t="shared" si="11"/>
        <v/>
      </c>
      <c r="K97" s="16" t="str">
        <f t="shared" si="12"/>
        <v/>
      </c>
      <c r="L97" s="16"/>
    </row>
    <row r="98" spans="1:12" ht="14.5" x14ac:dyDescent="0.35">
      <c r="A98" s="16"/>
      <c r="B98" s="16"/>
      <c r="C98" s="16"/>
      <c r="D98" s="16"/>
      <c r="E98" s="22" t="str">
        <f ca="1">IFERROR(__xludf.dummyfunction("iferror(1000+INT(($N$2-(index(split(D98,"":""),1)*60+index(split(D98,"":""),2 )))/0.2+1)*$N$3,"""")"),"")</f>
        <v/>
      </c>
      <c r="F98" s="16" t="str">
        <f t="shared" ref="F98:F129" ca="1" si="13">IFERROR(_xlfn.RANK.EQ(E98,E:E),"")</f>
        <v/>
      </c>
      <c r="G98" s="16"/>
      <c r="H98" s="22" t="str">
        <f ca="1">IFERROR(__xludf.dummyfunction("iferror(1000+INT(($N$4-(index(split(G98,"":""),1)*60+index(split(G98,"":""),2 )))/0.2+1)*$N$5,"""")"),"")</f>
        <v/>
      </c>
      <c r="I98" s="16" t="str">
        <f t="shared" ref="I98:I129" ca="1" si="14">IFERROR(_xlfn.RANK.EQ(H98,H:H),"")</f>
        <v/>
      </c>
      <c r="J98" s="16" t="str">
        <f t="shared" si="11"/>
        <v/>
      </c>
      <c r="K98" s="16" t="str">
        <f t="shared" ref="K98:K129" si="15">IFERROR(_xlfn.RANK.EQ(J98,J:J),"")</f>
        <v/>
      </c>
      <c r="L98" s="16"/>
    </row>
    <row r="99" spans="1:12" ht="14.5" x14ac:dyDescent="0.35">
      <c r="A99" s="16"/>
      <c r="B99" s="16"/>
      <c r="C99" s="16"/>
      <c r="D99" s="16"/>
      <c r="E99" s="22" t="str">
        <f ca="1">IFERROR(__xludf.dummyfunction("iferror(1000+INT(($N$2-(index(split(D99,"":""),1)*60+index(split(D99,"":""),2 )))/0.2+1)*$N$3,"""")"),"")</f>
        <v/>
      </c>
      <c r="F99" s="16" t="str">
        <f t="shared" ca="1" si="13"/>
        <v/>
      </c>
      <c r="G99" s="16"/>
      <c r="H99" s="22" t="str">
        <f ca="1">IFERROR(__xludf.dummyfunction("iferror(1000+INT(($N$4-(index(split(G99,"":""),1)*60+index(split(G99,"":""),2 )))/0.2+1)*$N$5,"""")"),"")</f>
        <v/>
      </c>
      <c r="I99" s="16" t="str">
        <f t="shared" ca="1" si="14"/>
        <v/>
      </c>
      <c r="J99" s="16" t="str">
        <f t="shared" si="11"/>
        <v/>
      </c>
      <c r="K99" s="16" t="str">
        <f t="shared" si="15"/>
        <v/>
      </c>
      <c r="L99" s="16"/>
    </row>
    <row r="100" spans="1:12" ht="14.5" x14ac:dyDescent="0.35">
      <c r="A100" s="16"/>
      <c r="B100" s="16"/>
      <c r="C100" s="16"/>
      <c r="D100" s="16"/>
      <c r="E100" s="22" t="str">
        <f ca="1">IFERROR(__xludf.dummyfunction("iferror(1000+INT(($N$2-(index(split(D100,"":""),1)*60+index(split(D100,"":""),2 )))/0.2+1)*$N$3,"""")"),"")</f>
        <v/>
      </c>
      <c r="F100" s="16" t="str">
        <f t="shared" ca="1" si="13"/>
        <v/>
      </c>
      <c r="G100" s="16"/>
      <c r="H100" s="22" t="str">
        <f ca="1">IFERROR(__xludf.dummyfunction("iferror(1000+INT(($N$4-(index(split(G100,"":""),1)*60+index(split(G100,"":""),2 )))/0.2+1)*$N$5,"""")"),"")</f>
        <v/>
      </c>
      <c r="I100" s="16" t="str">
        <f t="shared" ca="1" si="14"/>
        <v/>
      </c>
      <c r="J100" s="16" t="str">
        <f t="shared" si="11"/>
        <v/>
      </c>
      <c r="K100" s="16" t="str">
        <f t="shared" si="15"/>
        <v/>
      </c>
      <c r="L100" s="16"/>
    </row>
    <row r="101" spans="1:12" ht="14.5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4.5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4.5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4.5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4.5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4.5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4.5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4.5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4.5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4.5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4.5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4.5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4.5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4.5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4.5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4.5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4.5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4.5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4.5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4.5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4.5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4.5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4.5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4.5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4.5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4.5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4.5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4.5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4.5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4.5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4.5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4.5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4.5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4.5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4.5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4.5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4.5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4.5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4.5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4.5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4.5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4.5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4.5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4.5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4.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4.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4.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4.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4.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4.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4.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4.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4.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4.5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4.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4.5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4.5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4.5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4.5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4.5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4.5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4.5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ht="14.5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4.5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ht="14.5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ht="14.5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4.5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4.5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5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4.5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4.5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4.5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4.5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4.5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4.5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4.5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4.5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4.5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4.5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4.5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4.5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4.5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4.5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4.5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4.5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4.5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4.5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4.5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4.5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4.5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4.5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4.5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4.5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4.5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4.5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4.5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4.5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4.5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4.5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4.5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4.5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4.5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4.5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4.5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4.5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4.5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4.5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4.5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4.5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4.5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4.5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4.5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4.5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4.5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4.5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4.5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4.5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4.5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4.5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4.5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4.5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4.5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4.5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4.5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4.5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4.5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4.5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4.5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4.5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4.5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4.5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4.5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4.5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5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4.5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4.5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4.5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4.5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4.5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4.5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4.5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4.5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4.5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4.5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4.5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4.5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4.5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4.5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4.5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4.5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4.5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4.5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4.5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4.5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4.5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4.5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4.5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4.5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4.5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4.5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4.5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4.5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4.5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4.5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4.5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4.5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4.5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4.5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4.5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4.5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4.5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4.5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4.5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4.5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4.5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4.5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4.5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4.5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4.5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4.5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4.5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4.5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4.5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4.5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4.5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4.5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4.5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4.5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4.5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4.5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4.5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4.5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4.5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4.5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4.5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4.5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4.5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4.5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4.5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4.5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4.5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4.5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4.5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4.5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4.5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4.5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4.5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4.5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4.5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4.5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4.5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4.5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4.5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4.5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4.5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4.5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4.5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4.5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4.5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4.5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4.5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4.5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4.5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4.5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4.5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4.5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4.5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4.5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4.5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4.5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4.5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4.5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4.5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4.5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4.5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4.5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4.5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4.5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4.5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4.5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4.5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4.5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4.5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4.5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4.5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4.5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4.5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4.5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4.5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4.5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4.5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4.5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4.5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4.5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4.5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4.5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4.5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4.5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4.5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4.5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4.5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4.5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4.5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4.5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4.5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4.5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4.5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4.5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4.5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4.5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4.5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4.5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4.5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4.5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4.5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4.5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4.5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4.5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4.5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ht="14.5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ht="14.5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ht="14.5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ht="14.5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ht="14.5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ht="14.5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ht="14.5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ht="14.5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ht="14.5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ht="14.5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ht="14.5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ht="14.5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ht="14.5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ht="14.5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ht="14.5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ht="14.5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ht="14.5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ht="14.5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ht="14.5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ht="14.5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ht="14.5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ht="14.5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ht="14.5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ht="14.5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ht="14.5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ht="14.5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ht="14.5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ht="14.5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ht="14.5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ht="14.5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ht="14.5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ht="14.5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ht="14.5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ht="14.5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ht="14.5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ht="14.5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ht="14.5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ht="14.5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ht="14.5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ht="14.5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ht="14.5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ht="14.5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ht="14.5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ht="14.5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ht="14.5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ht="14.5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ht="14.5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ht="14.5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ht="14.5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ht="14.5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ht="14.5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ht="14.5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ht="14.5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ht="14.5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ht="14.5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ht="14.5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ht="14.5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ht="14.5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 ht="14.5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 ht="14.5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 ht="14.5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 ht="14.5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 ht="14.5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 ht="14.5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 ht="14.5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 ht="14.5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 ht="14.5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 ht="14.5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 ht="14.5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 ht="14.5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 ht="14.5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 ht="14.5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 ht="14.5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 ht="14.5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 ht="14.5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 ht="14.5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 ht="14.5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 ht="14.5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 ht="14.5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 ht="14.5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 ht="14.5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 ht="14.5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 ht="14.5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 ht="14.5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 ht="14.5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 ht="14.5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 ht="14.5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 ht="14.5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 ht="14.5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 ht="14.5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 ht="14.5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 ht="14.5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 ht="14.5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 ht="14.5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 ht="14.5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 ht="14.5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 ht="14.5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 ht="14.5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 ht="14.5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 ht="14.5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 ht="14.5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 ht="14.5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 ht="14.5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 ht="14.5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 ht="14.5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 ht="14.5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 ht="14.5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 ht="14.5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 ht="14.5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 ht="14.5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 ht="14.5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 ht="14.5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 ht="14.5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 ht="14.5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 ht="14.5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 ht="14.5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 ht="14.5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 ht="14.5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 ht="14.5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 ht="14.5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 ht="14.5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 ht="14.5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 ht="14.5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 ht="14.5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 ht="14.5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 ht="14.5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 ht="14.5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 ht="14.5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 ht="14.5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 ht="14.5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 ht="14.5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 ht="14.5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 ht="14.5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 ht="14.5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 ht="14.5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 ht="14.5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 ht="14.5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 ht="14.5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 ht="14.5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 ht="14.5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 ht="14.5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ht="14.5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ht="14.5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ht="14.5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ht="14.5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ht="14.5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ht="14.5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ht="14.5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ht="14.5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 ht="14.5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 ht="14.5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 ht="14.5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 ht="14.5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 ht="14.5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 ht="14.5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 ht="14.5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 ht="14.5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 ht="14.5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 ht="14.5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 ht="14.5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 ht="14.5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 ht="14.5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 ht="14.5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 ht="14.5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 ht="14.5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 ht="14.5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 ht="14.5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 ht="14.5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 ht="14.5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 ht="14.5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 ht="14.5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 ht="14.5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 ht="14.5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 ht="14.5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 ht="14.5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 ht="14.5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 ht="14.5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 ht="14.5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 ht="14.5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 ht="14.5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 ht="14.5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 ht="14.5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 ht="14.5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 ht="14.5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 ht="14.5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 ht="14.5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 ht="14.5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 ht="14.5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 ht="14.5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 ht="14.5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 ht="14.5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 ht="14.5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 ht="14.5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 ht="14.5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 ht="14.5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 ht="14.5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 ht="14.5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 ht="14.5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 ht="14.5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 ht="14.5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 ht="14.5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 ht="14.5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 ht="14.5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 ht="14.5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 ht="14.5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 ht="14.5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 ht="14.5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 ht="14.5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 ht="14.5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 ht="14.5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 ht="14.5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 ht="14.5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 ht="14.5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 ht="14.5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 ht="14.5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 ht="14.5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 ht="14.5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 ht="14.5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 ht="14.5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 ht="14.5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 ht="14.5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 ht="14.5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 ht="14.5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 ht="14.5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 ht="14.5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 ht="14.5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 ht="14.5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 ht="14.5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 ht="14.5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 ht="14.5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 ht="14.5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 ht="14.5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 ht="14.5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 ht="14.5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 ht="14.5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 ht="14.5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 ht="14.5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 ht="14.5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 ht="14.5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 ht="14.5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 ht="14.5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 ht="14.5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 ht="14.5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 ht="14.5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 ht="14.5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 ht="14.5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 ht="14.5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 ht="14.5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 ht="14.5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 ht="14.5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 ht="14.5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 ht="14.5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 ht="14.5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 ht="14.5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 ht="14.5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 ht="14.5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 ht="14.5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 ht="14.5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 ht="14.5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 ht="14.5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 ht="14.5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 ht="14.5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 ht="14.5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 ht="14.5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 ht="14.5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 ht="14.5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 ht="14.5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 ht="14.5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 ht="14.5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 ht="14.5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 ht="14.5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 ht="14.5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 ht="14.5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 ht="14.5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 ht="14.5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 ht="14.5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 ht="14.5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 ht="14.5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 ht="14.5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 ht="14.5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 ht="14.5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 ht="14.5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 ht="14.5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 ht="14.5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 ht="14.5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 ht="14.5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 ht="14.5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 ht="14.5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 ht="14.5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 ht="14.5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 ht="14.5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 ht="14.5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 ht="14.5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 ht="14.5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 ht="14.5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 ht="14.5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 ht="14.5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 ht="14.5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 ht="14.5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 ht="14.5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 ht="14.5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 ht="14.5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 ht="14.5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 ht="14.5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 ht="14.5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 ht="14.5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 ht="14.5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 ht="14.5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 ht="14.5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 ht="14.5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 ht="14.5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 ht="14.5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 ht="14.5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 ht="14.5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 ht="14.5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 ht="14.5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 ht="14.5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 ht="14.5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 ht="14.5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 ht="14.5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 ht="14.5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 ht="14.5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 ht="14.5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 ht="14.5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 ht="14.5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 ht="14.5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 ht="14.5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 ht="14.5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 ht="14.5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 ht="14.5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 ht="14.5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 ht="14.5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 ht="14.5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 ht="14.5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 ht="14.5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 ht="14.5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 ht="14.5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 ht="14.5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 ht="14.5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 ht="14.5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 ht="14.5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 ht="14.5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 ht="14.5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 ht="14.5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 ht="14.5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 ht="14.5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 ht="14.5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 ht="14.5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 ht="14.5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 ht="14.5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 ht="14.5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 ht="14.5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 ht="14.5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 ht="14.5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 ht="14.5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 ht="14.5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 ht="14.5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 ht="14.5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 ht="14.5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 ht="14.5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 ht="14.5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 ht="14.5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 ht="14.5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 ht="14.5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 ht="14.5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 ht="14.5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 ht="14.5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 ht="14.5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 ht="14.5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 ht="14.5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 ht="14.5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 ht="14.5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 ht="14.5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 ht="14.5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 ht="14.5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 ht="14.5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 ht="14.5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 ht="14.5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 ht="14.5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 ht="14.5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 ht="14.5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 ht="14.5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 ht="14.5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 ht="14.5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 ht="14.5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 ht="14.5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 ht="14.5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 ht="14.5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 ht="14.5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 ht="14.5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 ht="14.5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 ht="14.5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 ht="14.5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 ht="14.5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 ht="14.5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 ht="14.5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 ht="14.5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 ht="14.5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 ht="14.5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 ht="14.5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 ht="14.5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 ht="14.5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 ht="14.5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 ht="14.5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 ht="14.5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 ht="14.5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 ht="14.5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 ht="14.5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 ht="14.5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 ht="14.5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 ht="14.5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 ht="14.5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 ht="14.5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 ht="14.5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 ht="14.5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 ht="14.5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 ht="14.5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 ht="14.5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 ht="14.5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 ht="14.5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 ht="14.5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 ht="14.5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 ht="14.5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 ht="14.5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 ht="14.5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 ht="14.5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 ht="14.5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 ht="14.5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 ht="14.5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 ht="14.5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 ht="14.5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 ht="14.5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 ht="14.5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 ht="14.5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 ht="14.5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 ht="14.5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 ht="14.5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 ht="14.5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 ht="14.5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 ht="14.5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 ht="14.5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 ht="14.5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 ht="14.5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 ht="14.5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 ht="14.5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 ht="14.5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 ht="14.5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 ht="14.5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 ht="14.5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 ht="14.5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 ht="14.5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 ht="14.5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 ht="14.5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 ht="14.5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 ht="14.5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 ht="14.5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 ht="14.5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 ht="14.5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 ht="14.5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 ht="14.5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 ht="14.5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 ht="14.5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 ht="14.5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 ht="14.5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 ht="14.5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 ht="14.5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 ht="14.5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 ht="14.5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 ht="14.5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 ht="14.5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 ht="14.5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 ht="14.5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 ht="14.5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 ht="14.5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 ht="14.5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 ht="14.5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 ht="14.5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 ht="14.5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 ht="14.5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 ht="14.5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 ht="14.5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 ht="14.5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 ht="14.5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 ht="14.5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 ht="14.5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 ht="14.5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 ht="14.5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 ht="14.5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 ht="14.5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 ht="14.5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 ht="14.5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 ht="14.5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 ht="14.5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 ht="14.5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 ht="14.5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 ht="14.5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 ht="14.5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 ht="14.5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 ht="14.5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 ht="14.5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 ht="14.5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 ht="14.5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 ht="14.5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 ht="14.5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 ht="14.5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 ht="14.5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 ht="14.5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 ht="14.5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 ht="14.5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 ht="14.5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 ht="14.5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 ht="14.5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 ht="14.5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 ht="14.5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 ht="14.5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 ht="14.5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 ht="14.5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 ht="14.5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 ht="14.5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 ht="14.5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 ht="14.5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 ht="14.5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 ht="14.5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 ht="14.5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 ht="14.5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 ht="14.5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 ht="14.5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 ht="14.5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 ht="14.5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 ht="14.5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 ht="14.5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 ht="14.5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 ht="14.5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 ht="14.5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 ht="14.5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 ht="14.5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 ht="14.5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 ht="14.5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 ht="14.5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 ht="14.5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 ht="14.5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 ht="14.5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 ht="14.5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 ht="14.5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 ht="14.5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 ht="14.5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</sheetData>
  <sortState xmlns:xlrd2="http://schemas.microsoft.com/office/spreadsheetml/2017/richdata2" ref="A2:K6">
    <sortCondition ref="K2:K6"/>
  </sortState>
  <printOptions horizontalCentered="1" gridLines="1"/>
  <pageMargins left="0.7" right="0.7" top="1.1437499999999998" bottom="1.1437499999999998" header="0.75" footer="0.75"/>
  <pageSetup paperSize="0" fitToWidth="0" fitToHeight="0" pageOrder="overThenDown" orientation="landscape" horizontalDpi="0" verticalDpi="0" copies="0"/>
  <headerFooter alignWithMargins="0"/>
  <ignoredErrors>
    <ignoredError sqref="J2:J2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'Scoring tables'!$A$2:$A$57</xm:f>
          </x14:formula1>
          <xm:sqref>L1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workbookViewId="0">
      <selection activeCell="D13" sqref="D13"/>
    </sheetView>
  </sheetViews>
  <sheetFormatPr defaultRowHeight="15.75" customHeight="1" x14ac:dyDescent="0.35"/>
  <cols>
    <col min="1" max="1" width="10.4140625" style="25" customWidth="1"/>
    <col min="2" max="2" width="23.58203125" style="25" customWidth="1"/>
    <col min="3" max="3" width="28.83203125" style="25" customWidth="1"/>
    <col min="4" max="11" width="8.4140625" style="25" customWidth="1"/>
    <col min="12" max="1024" width="11.6640625" style="25" customWidth="1"/>
    <col min="1025" max="16384" width="8.6640625" style="25"/>
  </cols>
  <sheetData>
    <row r="1" spans="1:14" ht="30.75" customHeight="1" x14ac:dyDescent="0.35">
      <c r="A1" s="20" t="s">
        <v>0</v>
      </c>
      <c r="B1" s="20" t="s">
        <v>26</v>
      </c>
      <c r="C1" s="20" t="s">
        <v>27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9</v>
      </c>
    </row>
    <row r="2" spans="1:14" ht="14.5" x14ac:dyDescent="0.35">
      <c r="A2" s="16">
        <f ca="1">IFERROR(__xludf.dummyfunction("Query(Entries!$A$2:$U$1205,""select A,C,D where B = '""&amp;L1&amp;""'"")"),40)</f>
        <v>40</v>
      </c>
      <c r="B2" s="5" t="str">
        <f ca="1">IFERROR(__xludf.dummyfunction("""COMPUTED_VALUE"""),"Ayodeji Dauda")</f>
        <v>Ayodeji Dauda</v>
      </c>
      <c r="C2" s="5" t="str">
        <f ca="1">IFERROR(__xludf.dummyfunction("""COMPUTED_VALUE"""),"St Dunstans College")</f>
        <v>St Dunstans College</v>
      </c>
      <c r="D2" s="16" t="s">
        <v>56</v>
      </c>
      <c r="E2" s="22">
        <f ca="1">IFERROR(__xludf.dummyfunction("iferror(1000+INT(($N$2-(index(split(D2,"":""),1)*60+index(split(D2,"":""),2 )))/0.2+1)*$N$3,"""")"),1162)</f>
        <v>1162</v>
      </c>
      <c r="F2" s="16">
        <f ca="1">IFERROR(_xlfn.RANK.EQ(E2,E:E),"")</f>
        <v>1</v>
      </c>
      <c r="G2" s="22" t="s">
        <v>57</v>
      </c>
      <c r="H2" s="22">
        <f ca="1">IFERROR(__xludf.dummyfunction("iferror(1000+INT(($N$4-(index(split(G2,"":""),1)*60+index(split(G2,"":""),2 )))/0.2+1)*$N$5,"""")"),532)</f>
        <v>532</v>
      </c>
      <c r="I2" s="16">
        <f ca="1">IFERROR(_xlfn.RANK.EQ(H2,H:H),"")</f>
        <v>4</v>
      </c>
      <c r="J2" s="22">
        <f ca="1">IF(AND(D2="", G2=""), "", E2+H2)</f>
        <v>1694</v>
      </c>
      <c r="K2" s="16">
        <f ca="1">IFERROR(_xlfn.RANK.EQ(J2,J:J),"")</f>
        <v>1</v>
      </c>
      <c r="L2" s="16"/>
      <c r="M2" s="21" t="s">
        <v>38</v>
      </c>
      <c r="N2" s="26">
        <f>VLOOKUP($L$1,'Scoring tables'!$A$2:$K$57,10,0)</f>
        <v>42</v>
      </c>
    </row>
    <row r="3" spans="1:14" ht="14.5" x14ac:dyDescent="0.35">
      <c r="A3" s="16">
        <f ca="1">IFERROR(__xludf.dummyfunction("""COMPUTED_VALUE"""),42)</f>
        <v>42</v>
      </c>
      <c r="B3" s="5" t="str">
        <f ca="1">IFERROR(__xludf.dummyfunction("""COMPUTED_VALUE"""),"Oliver Chauhan")</f>
        <v>Oliver Chauhan</v>
      </c>
      <c r="C3" s="5" t="str">
        <f ca="1">IFERROR(__xludf.dummyfunction("""COMPUTED_VALUE"""),"Queens Drive Primary School")</f>
        <v>Queens Drive Primary School</v>
      </c>
      <c r="D3" s="16" t="s">
        <v>60</v>
      </c>
      <c r="E3" s="22">
        <f ca="1">IFERROR(__xludf.dummyfunction("iferror(1000+INT(($N$2-(index(split(D4,"":""),1)*60+index(split(D4,"":""),2 )))/0.2+1)*$N$3,"""")"),772)</f>
        <v>772</v>
      </c>
      <c r="F3" s="16">
        <f ca="1">IFERROR(_xlfn.RANK.EQ(E3,E:E),"")</f>
        <v>2</v>
      </c>
      <c r="G3" s="16" t="s">
        <v>61</v>
      </c>
      <c r="H3" s="22">
        <f ca="1">IFERROR(__xludf.dummyfunction("iferror(1000+INT(($N$4-(index(split(G4,"":""),1)*60+index(split(G4,"":""),2 )))/0.2+1)*$N$5,"""")"),793)</f>
        <v>793</v>
      </c>
      <c r="I3" s="16">
        <f ca="1">IFERROR(_xlfn.RANK.EQ(H3,H:H),"")</f>
        <v>2</v>
      </c>
      <c r="J3" s="22">
        <f t="shared" ref="J3:J23" ca="1" si="0">IF(AND(D3="", G3=""), "", E3+H3)</f>
        <v>1565</v>
      </c>
      <c r="K3" s="16">
        <f ca="1">IFERROR(_xlfn.RANK.EQ(J3,J:J),"")</f>
        <v>2</v>
      </c>
      <c r="L3" s="16"/>
      <c r="M3" s="21" t="s">
        <v>39</v>
      </c>
      <c r="N3" s="26">
        <f>VLOOKUP($L$1,'Scoring tables'!$A$2:$K$57,11,0)</f>
        <v>6</v>
      </c>
    </row>
    <row r="4" spans="1:14" ht="14.5" x14ac:dyDescent="0.35">
      <c r="A4" s="16">
        <f ca="1">IFERROR(__xludf.dummyfunction("""COMPUTED_VALUE"""),45)</f>
        <v>45</v>
      </c>
      <c r="B4" s="5" t="str">
        <f ca="1">IFERROR(__xludf.dummyfunction("""COMPUTED_VALUE"""),"Matthew Howarth")</f>
        <v>Matthew Howarth</v>
      </c>
      <c r="C4" s="5" t="str">
        <f ca="1">IFERROR(__xludf.dummyfunction("""COMPUTED_VALUE"""),"Moorside Primary School (LANCASTER)")</f>
        <v>Moorside Primary School (LANCASTER)</v>
      </c>
      <c r="D4" s="16" t="s">
        <v>66</v>
      </c>
      <c r="E4" s="22">
        <f ca="1">IFERROR(__xludf.dummyfunction("iferror(1000+INT(($N$2-(index(split(D7,"":""),1)*60+index(split(D7,"":""),2 )))/0.2+1)*$N$3,"""")"),526)</f>
        <v>526</v>
      </c>
      <c r="F4" s="16">
        <f ca="1">IFERROR(_xlfn.RANK.EQ(E4,E:E),"")</f>
        <v>4</v>
      </c>
      <c r="G4" s="16" t="s">
        <v>67</v>
      </c>
      <c r="H4" s="22">
        <f ca="1">IFERROR(__xludf.dummyfunction("iferror(1000+INT(($N$4-(index(split(G7,"":""),1)*60+index(split(G7,"":""),2 )))/0.2+1)*$N$5,"""")"),685)</f>
        <v>685</v>
      </c>
      <c r="I4" s="16">
        <f ca="1">IFERROR(_xlfn.RANK.EQ(H4,H:H),"")</f>
        <v>3</v>
      </c>
      <c r="J4" s="22">
        <f t="shared" ca="1" si="0"/>
        <v>1211</v>
      </c>
      <c r="K4" s="16">
        <f ca="1">IFERROR(_xlfn.RANK.EQ(J4,J:J),"")</f>
        <v>3</v>
      </c>
      <c r="L4" s="16"/>
      <c r="M4" s="21" t="s">
        <v>31</v>
      </c>
      <c r="N4" s="26">
        <f>VLOOKUP($L$1,'Scoring tables'!$A$2:$K$57,5,0)</f>
        <v>180</v>
      </c>
    </row>
    <row r="5" spans="1:14" ht="14.5" x14ac:dyDescent="0.35">
      <c r="A5" s="16">
        <f ca="1">IFERROR(__xludf.dummyfunction("""COMPUTED_VALUE"""),43)</f>
        <v>43</v>
      </c>
      <c r="B5" s="5" t="str">
        <f ca="1">IFERROR(__xludf.dummyfunction("""COMPUTED_VALUE"""),"Harry Millatt")</f>
        <v>Harry Millatt</v>
      </c>
      <c r="C5" s="5" t="str">
        <f ca="1">IFERROR(__xludf.dummyfunction("""COMPUTED_VALUE"""),"Quernmore CE Controlled School")</f>
        <v>Quernmore CE Controlled School</v>
      </c>
      <c r="D5" s="16" t="s">
        <v>62</v>
      </c>
      <c r="E5" s="22">
        <f ca="1">IFERROR(__xludf.dummyfunction("iferror(1000+INT(($N$2-(index(split(D5,"":""),1)*60+index(split(D5,"":""),2 )))/0.2+1)*$N$3,"""")"),724)</f>
        <v>724</v>
      </c>
      <c r="F5" s="16">
        <f ca="1">IFERROR(_xlfn.RANK.EQ(E5,E:E),"")</f>
        <v>3</v>
      </c>
      <c r="G5" s="16" t="s">
        <v>63</v>
      </c>
      <c r="H5" s="22">
        <f ca="1">IFERROR(__xludf.dummyfunction("iferror(1000+INT(($N$4-(index(split(G5,"":""),1)*60+index(split(G5,"":""),2 )))/0.2+1)*$N$5,"""")"),298)</f>
        <v>298</v>
      </c>
      <c r="I5" s="16">
        <f ca="1">IFERROR(_xlfn.RANK.EQ(H5,H:H),"")</f>
        <v>5</v>
      </c>
      <c r="J5" s="22">
        <f t="shared" ca="1" si="0"/>
        <v>1022</v>
      </c>
      <c r="K5" s="16">
        <f ca="1">IFERROR(_xlfn.RANK.EQ(J5,J:J),"")</f>
        <v>4</v>
      </c>
      <c r="L5" s="16"/>
      <c r="M5" s="21" t="s">
        <v>32</v>
      </c>
      <c r="N5" s="26">
        <f>VLOOKUP($L$1,'Scoring tables'!$A$2:$K$57,6,0)</f>
        <v>3</v>
      </c>
    </row>
    <row r="6" spans="1:14" ht="14.5" x14ac:dyDescent="0.35">
      <c r="A6" s="16">
        <f ca="1">IFERROR(__xludf.dummyfunction("""COMPUTED_VALUE"""),44)</f>
        <v>44</v>
      </c>
      <c r="B6" s="5" t="str">
        <f ca="1">IFERROR(__xludf.dummyfunction("""COMPUTED_VALUE"""),"Teddy Turner")</f>
        <v>Teddy Turner</v>
      </c>
      <c r="C6" s="5" t="str">
        <f ca="1">IFERROR(__xludf.dummyfunction("""COMPUTED_VALUE"""),"St Pauls CE Primary School")</f>
        <v>St Pauls CE Primary School</v>
      </c>
      <c r="D6" s="16" t="s">
        <v>64</v>
      </c>
      <c r="E6" s="22">
        <f ca="1">IFERROR(__xludf.dummyfunction("iferror(1000+INT(($N$2-(index(split(D6,"":""),1)*60+index(split(D6,"":""),2 )))/0.2+1)*$N$3,"""")"),-116)</f>
        <v>-116</v>
      </c>
      <c r="F6" s="16">
        <f ca="1">IFERROR(_xlfn.RANK.EQ(E6,E:E),"")</f>
        <v>6</v>
      </c>
      <c r="G6" s="16" t="s">
        <v>65</v>
      </c>
      <c r="H6" s="22">
        <f ca="1">IFERROR(__xludf.dummyfunction("iferror(1000+INT(($N$4-(index(split(G6,"":""),1)*60+index(split(G6,"":""),2 )))/0.2+1)*$N$5,"""")"),856)</f>
        <v>856</v>
      </c>
      <c r="I6" s="16">
        <f ca="1">IFERROR(_xlfn.RANK.EQ(H6,H:H),"")</f>
        <v>1</v>
      </c>
      <c r="J6" s="22">
        <f t="shared" ca="1" si="0"/>
        <v>740</v>
      </c>
      <c r="K6" s="16">
        <f ca="1">IFERROR(_xlfn.RANK.EQ(J6,J:J),"")</f>
        <v>5</v>
      </c>
      <c r="L6" s="16"/>
    </row>
    <row r="7" spans="1:14" ht="14.5" x14ac:dyDescent="0.35">
      <c r="A7" s="16">
        <f ca="1">IFERROR(__xludf.dummyfunction("""COMPUTED_VALUE"""),41)</f>
        <v>41</v>
      </c>
      <c r="B7" s="5" t="str">
        <f ca="1">IFERROR(__xludf.dummyfunction("""COMPUTED_VALUE"""),"Archie Sutton")</f>
        <v>Archie Sutton</v>
      </c>
      <c r="C7" s="5" t="str">
        <f ca="1">IFERROR(__xludf.dummyfunction("""COMPUTED_VALUE"""),"Grosvenor Park Primary School")</f>
        <v>Grosvenor Park Primary School</v>
      </c>
      <c r="D7" s="16" t="s">
        <v>58</v>
      </c>
      <c r="E7" s="22">
        <f ca="1">IFERROR(__xludf.dummyfunction("iferror(1000+INT(($N$2-(index(split(D3,"":""),1)*60+index(split(D3,"":""),2 )))/0.2+1)*$N$3,"""")"),508)</f>
        <v>508</v>
      </c>
      <c r="F7" s="16">
        <f ca="1">IFERROR(_xlfn.RANK.EQ(E7,E:E),"")</f>
        <v>5</v>
      </c>
      <c r="G7" s="16" t="s">
        <v>59</v>
      </c>
      <c r="H7" s="22">
        <f ca="1">IFERROR(__xludf.dummyfunction("iferror(1000+INT(($N$4-(index(split(G3,"":""),1)*60+index(split(G3,"":""),2 )))/0.2+1)*$N$5,"""")"),-308)</f>
        <v>-308</v>
      </c>
      <c r="I7" s="16">
        <f ca="1">IFERROR(_xlfn.RANK.EQ(H7,H:H),"")</f>
        <v>6</v>
      </c>
      <c r="J7" s="22">
        <f t="shared" ca="1" si="0"/>
        <v>200</v>
      </c>
      <c r="K7" s="16">
        <f ca="1">IFERROR(_xlfn.RANK.EQ(J7,J:J),"")</f>
        <v>6</v>
      </c>
      <c r="L7" s="16"/>
    </row>
    <row r="8" spans="1:14" ht="14.5" x14ac:dyDescent="0.35">
      <c r="A8" s="16"/>
      <c r="B8" s="16"/>
      <c r="C8" s="16"/>
      <c r="D8" s="23"/>
      <c r="E8" s="22" t="str">
        <f ca="1">IFERROR(__xludf.dummyfunction("iferror(1000+INT(($N$2-(index(split(D8,"":""),1)*60+index(split(D8,"":""),2 )))/0.2+1)*$N$3,"""")"),"")</f>
        <v/>
      </c>
      <c r="F8" s="16" t="str">
        <f t="shared" ref="F2:F33" ca="1" si="1">IFERROR(_xlfn.RANK.EQ(E8,E:E),"")</f>
        <v/>
      </c>
      <c r="G8" s="16"/>
      <c r="H8" s="22" t="str">
        <f ca="1">IFERROR(__xludf.dummyfunction("iferror(1000+INT(($N$4-(index(split(G8,"":""),1)*60+index(split(G8,"":""),2 )))/0.2+1)*$N$5,"""")"),"")</f>
        <v/>
      </c>
      <c r="I8" s="16" t="str">
        <f t="shared" ref="I2:I33" ca="1" si="2">IFERROR(_xlfn.RANK.EQ(H8,H:H),"")</f>
        <v/>
      </c>
      <c r="J8" s="22" t="str">
        <f t="shared" si="0"/>
        <v/>
      </c>
      <c r="K8" s="16" t="str">
        <f t="shared" ref="K2:K33" si="3">IFERROR(_xlfn.RANK.EQ(J8,J:J),"")</f>
        <v/>
      </c>
      <c r="L8" s="16"/>
    </row>
    <row r="9" spans="1:14" ht="14.5" x14ac:dyDescent="0.35">
      <c r="A9" s="16"/>
      <c r="B9" s="16"/>
      <c r="C9" s="16"/>
      <c r="D9" s="16"/>
      <c r="E9" s="22" t="str">
        <f ca="1">IFERROR(__xludf.dummyfunction("iferror(1000+INT(($N$2-(index(split(D9,"":""),1)*60+index(split(D9,"":""),2 )))/0.2+1)*$N$3,"""")"),"")</f>
        <v/>
      </c>
      <c r="F9" s="16" t="str">
        <f t="shared" ca="1" si="1"/>
        <v/>
      </c>
      <c r="G9" s="16"/>
      <c r="H9" s="22" t="str">
        <f ca="1">IFERROR(__xludf.dummyfunction("iferror(1000+INT(($N$4-(index(split(G9,"":""),1)*60+index(split(G9,"":""),2 )))/0.2+1)*$N$5,"""")"),"")</f>
        <v/>
      </c>
      <c r="I9" s="16" t="str">
        <f t="shared" ca="1" si="2"/>
        <v/>
      </c>
      <c r="J9" s="22" t="str">
        <f t="shared" si="0"/>
        <v/>
      </c>
      <c r="K9" s="16" t="str">
        <f t="shared" si="3"/>
        <v/>
      </c>
      <c r="L9" s="16"/>
    </row>
    <row r="10" spans="1:14" ht="14.5" x14ac:dyDescent="0.35">
      <c r="A10" s="16"/>
      <c r="B10" s="16"/>
      <c r="C10" s="16"/>
      <c r="D10" s="16"/>
      <c r="E10" s="22" t="str">
        <f ca="1">IFERROR(__xludf.dummyfunction("iferror(1000+INT(($N$2-(index(split(D10,"":""),1)*60+index(split(D10,"":""),2 )))/0.2+1)*$N$3,"""")"),"")</f>
        <v/>
      </c>
      <c r="F10" s="16" t="str">
        <f t="shared" ca="1" si="1"/>
        <v/>
      </c>
      <c r="G10" s="16"/>
      <c r="H10" s="22" t="str">
        <f ca="1">IFERROR(__xludf.dummyfunction("iferror(1000+INT(($N$4-(index(split(G10,"":""),1)*60+index(split(G10,"":""),2 )))/0.2+1)*$N$5,"""")"),"")</f>
        <v/>
      </c>
      <c r="I10" s="16" t="str">
        <f t="shared" ca="1" si="2"/>
        <v/>
      </c>
      <c r="J10" s="22" t="str">
        <f t="shared" si="0"/>
        <v/>
      </c>
      <c r="K10" s="16" t="str">
        <f t="shared" si="3"/>
        <v/>
      </c>
      <c r="L10" s="16"/>
    </row>
    <row r="11" spans="1:14" ht="14.5" x14ac:dyDescent="0.35">
      <c r="A11" s="16"/>
      <c r="B11" s="16"/>
      <c r="C11" s="16"/>
      <c r="D11" s="16"/>
      <c r="E11" s="22" t="str">
        <f ca="1">IFERROR(__xludf.dummyfunction("iferror(1000+INT(($N$2-(index(split(D11,"":""),1)*60+index(split(D11,"":""),2 )))/0.2+1)*$N$3,"""")"),"")</f>
        <v/>
      </c>
      <c r="F11" s="16" t="str">
        <f t="shared" ca="1" si="1"/>
        <v/>
      </c>
      <c r="G11" s="16"/>
      <c r="H11" s="22" t="str">
        <f ca="1">IFERROR(__xludf.dummyfunction("iferror(1000+INT(($N$4-(index(split(G11,"":""),1)*60+index(split(G11,"":""),2 )))/0.2+1)*$N$5,"""")"),"")</f>
        <v/>
      </c>
      <c r="I11" s="16" t="str">
        <f t="shared" ca="1" si="2"/>
        <v/>
      </c>
      <c r="J11" s="22" t="str">
        <f t="shared" si="0"/>
        <v/>
      </c>
      <c r="K11" s="16" t="str">
        <f t="shared" si="3"/>
        <v/>
      </c>
      <c r="L11" s="16"/>
    </row>
    <row r="12" spans="1:14" ht="14.5" x14ac:dyDescent="0.35">
      <c r="A12" s="16"/>
      <c r="B12" s="16"/>
      <c r="C12" s="16"/>
      <c r="D12" s="16"/>
      <c r="E12" s="22" t="str">
        <f ca="1">IFERROR(__xludf.dummyfunction("iferror(1000+INT(($N$2-(index(split(D12,"":""),1)*60+index(split(D12,"":""),2 )))/0.2+1)*$N$3,"""")"),"")</f>
        <v/>
      </c>
      <c r="F12" s="16" t="str">
        <f t="shared" ca="1" si="1"/>
        <v/>
      </c>
      <c r="G12" s="16"/>
      <c r="H12" s="22" t="str">
        <f ca="1">IFERROR(__xludf.dummyfunction("iferror(1000+INT(($N$4-(index(split(G12,"":""),1)*60+index(split(G12,"":""),2 )))/0.2+1)*$N$5,"""")"),"")</f>
        <v/>
      </c>
      <c r="I12" s="16" t="str">
        <f t="shared" ca="1" si="2"/>
        <v/>
      </c>
      <c r="J12" s="22" t="str">
        <f t="shared" si="0"/>
        <v/>
      </c>
      <c r="K12" s="16" t="str">
        <f t="shared" si="3"/>
        <v/>
      </c>
      <c r="L12" s="16"/>
    </row>
    <row r="13" spans="1:14" ht="14.5" x14ac:dyDescent="0.35">
      <c r="A13" s="16"/>
      <c r="B13" s="16"/>
      <c r="C13" s="16"/>
      <c r="D13" s="16"/>
      <c r="E13" s="22" t="str">
        <f ca="1">IFERROR(__xludf.dummyfunction("iferror(1000+INT(($N$2-(index(split(D13,"":""),1)*60+index(split(D13,"":""),2 )))/0.2+1)*$N$3,"""")"),"")</f>
        <v/>
      </c>
      <c r="F13" s="16" t="str">
        <f t="shared" ca="1" si="1"/>
        <v/>
      </c>
      <c r="G13" s="16"/>
      <c r="H13" s="22" t="str">
        <f ca="1">IFERROR(__xludf.dummyfunction("iferror(1000+INT(($N$4-(index(split(G13,"":""),1)*60+index(split(G13,"":""),2 )))/0.2+1)*$N$5,"""")"),"")</f>
        <v/>
      </c>
      <c r="I13" s="16" t="str">
        <f t="shared" ca="1" si="2"/>
        <v/>
      </c>
      <c r="J13" s="22" t="str">
        <f t="shared" si="0"/>
        <v/>
      </c>
      <c r="K13" s="16" t="str">
        <f t="shared" si="3"/>
        <v/>
      </c>
      <c r="L13" s="16"/>
    </row>
    <row r="14" spans="1:14" ht="14.5" x14ac:dyDescent="0.35">
      <c r="A14" s="16"/>
      <c r="B14" s="16"/>
      <c r="C14" s="16"/>
      <c r="D14" s="16"/>
      <c r="E14" s="22" t="str">
        <f ca="1">IFERROR(__xludf.dummyfunction("iferror(1000+INT(($N$2-(index(split(D14,"":""),1)*60+index(split(D14,"":""),2 )))/0.2+1)*$N$3,"""")"),"")</f>
        <v/>
      </c>
      <c r="F14" s="16" t="str">
        <f t="shared" ca="1" si="1"/>
        <v/>
      </c>
      <c r="G14" s="16"/>
      <c r="H14" s="22" t="str">
        <f ca="1">IFERROR(__xludf.dummyfunction("iferror(1000+INT(($N$4-(index(split(G14,"":""),1)*60+index(split(G14,"":""),2 )))/0.2+1)*$N$5,"""")"),"")</f>
        <v/>
      </c>
      <c r="I14" s="16" t="str">
        <f t="shared" ca="1" si="2"/>
        <v/>
      </c>
      <c r="J14" s="22" t="str">
        <f t="shared" si="0"/>
        <v/>
      </c>
      <c r="K14" s="16" t="str">
        <f t="shared" si="3"/>
        <v/>
      </c>
      <c r="L14" s="16"/>
    </row>
    <row r="15" spans="1:14" ht="14.5" x14ac:dyDescent="0.35">
      <c r="A15" s="16"/>
      <c r="B15" s="16"/>
      <c r="C15" s="16"/>
      <c r="D15" s="16"/>
      <c r="E15" s="22" t="str">
        <f ca="1">IFERROR(__xludf.dummyfunction("iferror(1000+INT(($N$2-(index(split(D15,"":""),1)*60+index(split(D15,"":""),2 )))/0.2+1)*$N$3,"""")"),"")</f>
        <v/>
      </c>
      <c r="F15" s="16" t="str">
        <f t="shared" ca="1" si="1"/>
        <v/>
      </c>
      <c r="G15" s="16"/>
      <c r="H15" s="22" t="str">
        <f ca="1">IFERROR(__xludf.dummyfunction("iferror(1000+INT(($N$4-(index(split(G15,"":""),1)*60+index(split(G15,"":""),2 )))/0.2+1)*$N$5,"""")"),"")</f>
        <v/>
      </c>
      <c r="I15" s="16" t="str">
        <f t="shared" ca="1" si="2"/>
        <v/>
      </c>
      <c r="J15" s="22" t="str">
        <f t="shared" si="0"/>
        <v/>
      </c>
      <c r="K15" s="16" t="str">
        <f t="shared" si="3"/>
        <v/>
      </c>
      <c r="L15" s="16"/>
    </row>
    <row r="16" spans="1:14" ht="14.5" x14ac:dyDescent="0.35">
      <c r="A16" s="16"/>
      <c r="B16" s="16"/>
      <c r="C16" s="16"/>
      <c r="D16" s="16"/>
      <c r="E16" s="22" t="str">
        <f ca="1">IFERROR(__xludf.dummyfunction("iferror(1000+INT(($N$2-(index(split(D16,"":""),1)*60+index(split(D16,"":""),2 )))/0.2+1)*$N$3,"""")"),"")</f>
        <v/>
      </c>
      <c r="F16" s="16" t="str">
        <f t="shared" ca="1" si="1"/>
        <v/>
      </c>
      <c r="G16" s="16"/>
      <c r="H16" s="22" t="str">
        <f ca="1">IFERROR(__xludf.dummyfunction("iferror(1000+INT(($N$4-(index(split(G16,"":""),1)*60+index(split(G16,"":""),2 )))/0.2+1)*$N$5,"""")"),"")</f>
        <v/>
      </c>
      <c r="I16" s="16" t="str">
        <f t="shared" ca="1" si="2"/>
        <v/>
      </c>
      <c r="J16" s="22" t="str">
        <f t="shared" si="0"/>
        <v/>
      </c>
      <c r="K16" s="16" t="str">
        <f t="shared" si="3"/>
        <v/>
      </c>
      <c r="L16" s="16"/>
    </row>
    <row r="17" spans="1:12" ht="14.5" x14ac:dyDescent="0.35">
      <c r="A17" s="16"/>
      <c r="B17" s="16"/>
      <c r="C17" s="16"/>
      <c r="D17" s="16"/>
      <c r="E17" s="22" t="str">
        <f ca="1">IFERROR(__xludf.dummyfunction("iferror(1000+INT(($N$2-(index(split(D17,"":""),1)*60+index(split(D17,"":""),2 )))/0.2+1)*$N$3,"""")"),"")</f>
        <v/>
      </c>
      <c r="F17" s="16" t="str">
        <f t="shared" ca="1" si="1"/>
        <v/>
      </c>
      <c r="G17" s="16"/>
      <c r="H17" s="22" t="str">
        <f ca="1">IFERROR(__xludf.dummyfunction("iferror(1000+INT(($N$4-(index(split(G17,"":""),1)*60+index(split(G17,"":""),2 )))/0.2+1)*$N$5,"""")"),"")</f>
        <v/>
      </c>
      <c r="I17" s="16" t="str">
        <f t="shared" ca="1" si="2"/>
        <v/>
      </c>
      <c r="J17" s="22" t="str">
        <f t="shared" si="0"/>
        <v/>
      </c>
      <c r="K17" s="16" t="str">
        <f t="shared" si="3"/>
        <v/>
      </c>
      <c r="L17" s="16"/>
    </row>
    <row r="18" spans="1:12" ht="14.5" x14ac:dyDescent="0.35">
      <c r="A18" s="16"/>
      <c r="B18" s="16"/>
      <c r="C18" s="16"/>
      <c r="D18" s="16"/>
      <c r="E18" s="22" t="str">
        <f ca="1">IFERROR(__xludf.dummyfunction("iferror(1000+INT(($N$2-(index(split(D18,"":""),1)*60+index(split(D18,"":""),2 )))/0.2+1)*$N$3,"""")"),"")</f>
        <v/>
      </c>
      <c r="F18" s="16" t="str">
        <f t="shared" ca="1" si="1"/>
        <v/>
      </c>
      <c r="G18" s="16"/>
      <c r="H18" s="22" t="str">
        <f ca="1">IFERROR(__xludf.dummyfunction("iferror(1000+INT(($N$4-(index(split(G18,"":""),1)*60+index(split(G18,"":""),2 )))/0.2+1)*$N$5,"""")"),"")</f>
        <v/>
      </c>
      <c r="I18" s="16" t="str">
        <f t="shared" ca="1" si="2"/>
        <v/>
      </c>
      <c r="J18" s="22" t="str">
        <f t="shared" si="0"/>
        <v/>
      </c>
      <c r="K18" s="16" t="str">
        <f t="shared" si="3"/>
        <v/>
      </c>
      <c r="L18" s="16"/>
    </row>
    <row r="19" spans="1:12" ht="14.5" x14ac:dyDescent="0.35">
      <c r="A19" s="16"/>
      <c r="B19" s="16"/>
      <c r="C19" s="16"/>
      <c r="D19" s="16"/>
      <c r="E19" s="22" t="str">
        <f ca="1">IFERROR(__xludf.dummyfunction("iferror(1000+INT(($N$2-(index(split(D19,"":""),1)*60+index(split(D19,"":""),2 )))/0.2+1)*$N$3,"""")"),"")</f>
        <v/>
      </c>
      <c r="F19" s="16" t="str">
        <f t="shared" ca="1" si="1"/>
        <v/>
      </c>
      <c r="G19" s="16"/>
      <c r="H19" s="22" t="str">
        <f ca="1">IFERROR(__xludf.dummyfunction("iferror(1000+INT(($N$4-(index(split(G19,"":""),1)*60+index(split(G19,"":""),2 )))/0.2+1)*$N$5,"""")"),"")</f>
        <v/>
      </c>
      <c r="I19" s="16" t="str">
        <f t="shared" ca="1" si="2"/>
        <v/>
      </c>
      <c r="J19" s="22" t="str">
        <f t="shared" si="0"/>
        <v/>
      </c>
      <c r="K19" s="16" t="str">
        <f t="shared" si="3"/>
        <v/>
      </c>
      <c r="L19" s="16"/>
    </row>
    <row r="20" spans="1:12" ht="14.5" x14ac:dyDescent="0.35">
      <c r="A20" s="16"/>
      <c r="B20" s="16"/>
      <c r="C20" s="16"/>
      <c r="D20" s="16"/>
      <c r="E20" s="22" t="str">
        <f ca="1">IFERROR(__xludf.dummyfunction("iferror(1000+INT(($N$2-(index(split(D20,"":""),1)*60+index(split(D20,"":""),2 )))/0.2+1)*$N$3,"""")"),"")</f>
        <v/>
      </c>
      <c r="F20" s="16" t="str">
        <f t="shared" ca="1" si="1"/>
        <v/>
      </c>
      <c r="G20" s="16"/>
      <c r="H20" s="22" t="str">
        <f ca="1">IFERROR(__xludf.dummyfunction("iferror(1000+INT(($N$4-(index(split(G20,"":""),1)*60+index(split(G20,"":""),2 )))/0.2+1)*$N$5,"""")"),"")</f>
        <v/>
      </c>
      <c r="I20" s="16" t="str">
        <f t="shared" ca="1" si="2"/>
        <v/>
      </c>
      <c r="J20" s="22" t="str">
        <f t="shared" si="0"/>
        <v/>
      </c>
      <c r="K20" s="16" t="str">
        <f t="shared" si="3"/>
        <v/>
      </c>
      <c r="L20" s="16"/>
    </row>
    <row r="21" spans="1:12" ht="14.5" x14ac:dyDescent="0.35">
      <c r="A21" s="16"/>
      <c r="B21" s="16"/>
      <c r="C21" s="16"/>
      <c r="D21" s="16"/>
      <c r="E21" s="22" t="str">
        <f ca="1">IFERROR(__xludf.dummyfunction("iferror(1000+INT(($N$2-(index(split(D21,"":""),1)*60+index(split(D21,"":""),2 )))/0.2+1)*$N$3,"""")"),"")</f>
        <v/>
      </c>
      <c r="F21" s="16" t="str">
        <f t="shared" ca="1" si="1"/>
        <v/>
      </c>
      <c r="G21" s="16"/>
      <c r="H21" s="22" t="str">
        <f ca="1">IFERROR(__xludf.dummyfunction("iferror(1000+INT(($N$4-(index(split(G21,"":""),1)*60+index(split(G21,"":""),2 )))/0.2+1)*$N$5,"""")"),"")</f>
        <v/>
      </c>
      <c r="I21" s="16" t="str">
        <f t="shared" ca="1" si="2"/>
        <v/>
      </c>
      <c r="J21" s="22" t="str">
        <f t="shared" si="0"/>
        <v/>
      </c>
      <c r="K21" s="16" t="str">
        <f t="shared" si="3"/>
        <v/>
      </c>
      <c r="L21" s="16"/>
    </row>
    <row r="22" spans="1:12" ht="14.5" x14ac:dyDescent="0.35">
      <c r="A22" s="16"/>
      <c r="B22" s="16"/>
      <c r="C22" s="16"/>
      <c r="D22" s="16"/>
      <c r="E22" s="22" t="str">
        <f ca="1">IFERROR(__xludf.dummyfunction("iferror(1000+INT(($N$2-(index(split(D22,"":""),1)*60+index(split(D22,"":""),2 )))/0.2+1)*$N$3,"""")"),"")</f>
        <v/>
      </c>
      <c r="F22" s="16" t="str">
        <f t="shared" ca="1" si="1"/>
        <v/>
      </c>
      <c r="G22" s="16"/>
      <c r="H22" s="22" t="str">
        <f ca="1">IFERROR(__xludf.dummyfunction("iferror(1000+INT(($N$4-(index(split(G22,"":""),1)*60+index(split(G22,"":""),2 )))/0.2+1)*$N$5,"""")"),"")</f>
        <v/>
      </c>
      <c r="I22" s="16" t="str">
        <f t="shared" ca="1" si="2"/>
        <v/>
      </c>
      <c r="J22" s="22" t="str">
        <f t="shared" si="0"/>
        <v/>
      </c>
      <c r="K22" s="16" t="str">
        <f t="shared" si="3"/>
        <v/>
      </c>
      <c r="L22" s="16"/>
    </row>
    <row r="23" spans="1:12" ht="14.5" x14ac:dyDescent="0.35">
      <c r="A23" s="16"/>
      <c r="B23" s="16"/>
      <c r="C23" s="16"/>
      <c r="D23" s="16"/>
      <c r="E23" s="22" t="str">
        <f ca="1">IFERROR(__xludf.dummyfunction("iferror(1000+INT(($N$2-(index(split(D23,"":""),1)*60+index(split(D23,"":""),2 )))/0.2+1)*$N$3,"""")"),"")</f>
        <v/>
      </c>
      <c r="F23" s="16" t="str">
        <f t="shared" ca="1" si="1"/>
        <v/>
      </c>
      <c r="G23" s="16"/>
      <c r="H23" s="22" t="str">
        <f ca="1">IFERROR(__xludf.dummyfunction("iferror(1000+INT(($N$4-(index(split(G23,"":""),1)*60+index(split(G23,"":""),2 )))/0.2+1)*$N$5,"""")"),"")</f>
        <v/>
      </c>
      <c r="I23" s="16" t="str">
        <f t="shared" ca="1" si="2"/>
        <v/>
      </c>
      <c r="J23" s="22" t="str">
        <f t="shared" si="0"/>
        <v/>
      </c>
      <c r="K23" s="16" t="str">
        <f t="shared" si="3"/>
        <v/>
      </c>
      <c r="L23" s="16"/>
    </row>
    <row r="24" spans="1:12" ht="14.5" x14ac:dyDescent="0.35">
      <c r="A24" s="16"/>
      <c r="B24" s="16"/>
      <c r="C24" s="16"/>
      <c r="D24" s="16"/>
      <c r="E24" s="22" t="str">
        <f ca="1">IFERROR(__xludf.dummyfunction("iferror(1000+INT(($N$2-(index(split(D24,"":""),1)*60+index(split(D24,"":""),2 )))/0.2+1)*$N$3,"""")"),"")</f>
        <v/>
      </c>
      <c r="F24" s="16" t="str">
        <f t="shared" ca="1" si="1"/>
        <v/>
      </c>
      <c r="G24" s="16"/>
      <c r="H24" s="22" t="str">
        <f ca="1">IFERROR(__xludf.dummyfunction("iferror(1000+INT(($N$4-(index(split(G24,"":""),1)*60+index(split(G24,"":""),2 )))/0.2+1)*$N$5,"""")"),"")</f>
        <v/>
      </c>
      <c r="I24" s="16" t="str">
        <f t="shared" ca="1" si="2"/>
        <v/>
      </c>
      <c r="J24" s="16" t="str">
        <f t="shared" ref="J2:J33" si="4">IF(AND(D24="", G24=""), "", E24+H24)</f>
        <v/>
      </c>
      <c r="K24" s="16" t="str">
        <f t="shared" si="3"/>
        <v/>
      </c>
      <c r="L24" s="16"/>
    </row>
    <row r="25" spans="1:12" ht="14.5" x14ac:dyDescent="0.35">
      <c r="A25" s="16"/>
      <c r="B25" s="16"/>
      <c r="C25" s="16"/>
      <c r="D25" s="16"/>
      <c r="E25" s="22" t="str">
        <f ca="1">IFERROR(__xludf.dummyfunction("iferror(1000+INT(($N$2-(index(split(D25,"":""),1)*60+index(split(D25,"":""),2 )))/0.2+1)*$N$3,"""")"),"")</f>
        <v/>
      </c>
      <c r="F25" s="16" t="str">
        <f t="shared" ca="1" si="1"/>
        <v/>
      </c>
      <c r="G25" s="16"/>
      <c r="H25" s="22" t="str">
        <f ca="1">IFERROR(__xludf.dummyfunction("iferror(1000+INT(($N$4-(index(split(G25,"":""),1)*60+index(split(G25,"":""),2 )))/0.2+1)*$N$5,"""")"),"")</f>
        <v/>
      </c>
      <c r="I25" s="16" t="str">
        <f t="shared" ca="1" si="2"/>
        <v/>
      </c>
      <c r="J25" s="16" t="str">
        <f t="shared" si="4"/>
        <v/>
      </c>
      <c r="K25" s="16" t="str">
        <f t="shared" si="3"/>
        <v/>
      </c>
      <c r="L25" s="16"/>
    </row>
    <row r="26" spans="1:12" ht="14.5" x14ac:dyDescent="0.35">
      <c r="A26" s="16"/>
      <c r="B26" s="16"/>
      <c r="C26" s="16"/>
      <c r="D26" s="16"/>
      <c r="E26" s="22" t="str">
        <f ca="1">IFERROR(__xludf.dummyfunction("iferror(1000+INT(($N$2-(index(split(D26,"":""),1)*60+index(split(D26,"":""),2 )))/0.2+1)*$N$3,"""")"),"")</f>
        <v/>
      </c>
      <c r="F26" s="16" t="str">
        <f t="shared" ca="1" si="1"/>
        <v/>
      </c>
      <c r="G26" s="16"/>
      <c r="H26" s="22" t="str">
        <f ca="1">IFERROR(__xludf.dummyfunction("iferror(1000+INT(($N$4-(index(split(G26,"":""),1)*60+index(split(G26,"":""),2 )))/0.2+1)*$N$5,"""")"),"")</f>
        <v/>
      </c>
      <c r="I26" s="16" t="str">
        <f t="shared" ca="1" si="2"/>
        <v/>
      </c>
      <c r="J26" s="16" t="str">
        <f t="shared" si="4"/>
        <v/>
      </c>
      <c r="K26" s="16" t="str">
        <f t="shared" si="3"/>
        <v/>
      </c>
      <c r="L26" s="16"/>
    </row>
    <row r="27" spans="1:12" ht="14.5" x14ac:dyDescent="0.35">
      <c r="A27" s="16"/>
      <c r="B27" s="16"/>
      <c r="C27" s="16"/>
      <c r="D27" s="16"/>
      <c r="E27" s="22" t="str">
        <f ca="1">IFERROR(__xludf.dummyfunction("iferror(1000+INT(($N$2-(index(split(D27,"":""),1)*60+index(split(D27,"":""),2 )))/0.2+1)*$N$3,"""")"),"")</f>
        <v/>
      </c>
      <c r="F27" s="16" t="str">
        <f t="shared" ca="1" si="1"/>
        <v/>
      </c>
      <c r="G27" s="16"/>
      <c r="H27" s="22" t="str">
        <f ca="1">IFERROR(__xludf.dummyfunction("iferror(1000+INT(($N$4-(index(split(G27,"":""),1)*60+index(split(G27,"":""),2 )))/0.2+1)*$N$5,"""")"),"")</f>
        <v/>
      </c>
      <c r="I27" s="16" t="str">
        <f t="shared" ca="1" si="2"/>
        <v/>
      </c>
      <c r="J27" s="16" t="str">
        <f t="shared" si="4"/>
        <v/>
      </c>
      <c r="K27" s="16" t="str">
        <f t="shared" si="3"/>
        <v/>
      </c>
      <c r="L27" s="16"/>
    </row>
    <row r="28" spans="1:12" ht="14.5" x14ac:dyDescent="0.35">
      <c r="A28" s="16"/>
      <c r="B28" s="16"/>
      <c r="C28" s="16"/>
      <c r="D28" s="16"/>
      <c r="E28" s="22" t="str">
        <f ca="1">IFERROR(__xludf.dummyfunction("iferror(1000+INT(($N$2-(index(split(D28,"":""),1)*60+index(split(D28,"":""),2 )))/0.2+1)*$N$3,"""")"),"")</f>
        <v/>
      </c>
      <c r="F28" s="16" t="str">
        <f t="shared" ca="1" si="1"/>
        <v/>
      </c>
      <c r="G28" s="16"/>
      <c r="H28" s="22" t="str">
        <f ca="1">IFERROR(__xludf.dummyfunction("iferror(1000+INT(($N$4-(index(split(G28,"":""),1)*60+index(split(G28,"":""),2 )))/0.2+1)*$N$5,"""")"),"")</f>
        <v/>
      </c>
      <c r="I28" s="16" t="str">
        <f t="shared" ca="1" si="2"/>
        <v/>
      </c>
      <c r="J28" s="16" t="str">
        <f t="shared" si="4"/>
        <v/>
      </c>
      <c r="K28" s="16" t="str">
        <f t="shared" si="3"/>
        <v/>
      </c>
      <c r="L28" s="16"/>
    </row>
    <row r="29" spans="1:12" ht="14.5" x14ac:dyDescent="0.35">
      <c r="A29" s="16"/>
      <c r="B29" s="16"/>
      <c r="C29" s="16"/>
      <c r="D29" s="16"/>
      <c r="E29" s="22" t="str">
        <f ca="1">IFERROR(__xludf.dummyfunction("iferror(1000+INT(($N$2-(index(split(D29,"":""),1)*60+index(split(D29,"":""),2 )))/0.2+1)*$N$3,"""")"),"")</f>
        <v/>
      </c>
      <c r="F29" s="16" t="str">
        <f t="shared" ca="1" si="1"/>
        <v/>
      </c>
      <c r="G29" s="16"/>
      <c r="H29" s="22" t="str">
        <f ca="1">IFERROR(__xludf.dummyfunction("iferror(1000+INT(($N$4-(index(split(G29,"":""),1)*60+index(split(G29,"":""),2 )))/0.2+1)*$N$5,"""")"),"")</f>
        <v/>
      </c>
      <c r="I29" s="16" t="str">
        <f t="shared" ca="1" si="2"/>
        <v/>
      </c>
      <c r="J29" s="16" t="str">
        <f t="shared" si="4"/>
        <v/>
      </c>
      <c r="K29" s="16" t="str">
        <f t="shared" si="3"/>
        <v/>
      </c>
      <c r="L29" s="16"/>
    </row>
    <row r="30" spans="1:12" ht="14.5" x14ac:dyDescent="0.35">
      <c r="A30" s="16"/>
      <c r="B30" s="16"/>
      <c r="C30" s="16"/>
      <c r="D30" s="16"/>
      <c r="E30" s="22" t="str">
        <f ca="1">IFERROR(__xludf.dummyfunction("iferror(1000+INT(($N$2-(index(split(D30,"":""),1)*60+index(split(D30,"":""),2 )))/0.2+1)*$N$3,"""")"),"")</f>
        <v/>
      </c>
      <c r="F30" s="16" t="str">
        <f t="shared" ca="1" si="1"/>
        <v/>
      </c>
      <c r="G30" s="16"/>
      <c r="H30" s="22" t="str">
        <f ca="1">IFERROR(__xludf.dummyfunction("iferror(1000+INT(($N$4-(index(split(G30,"":""),1)*60+index(split(G30,"":""),2 )))/0.2+1)*$N$5,"""")"),"")</f>
        <v/>
      </c>
      <c r="I30" s="16" t="str">
        <f t="shared" ca="1" si="2"/>
        <v/>
      </c>
      <c r="J30" s="16" t="str">
        <f t="shared" si="4"/>
        <v/>
      </c>
      <c r="K30" s="16" t="str">
        <f t="shared" si="3"/>
        <v/>
      </c>
      <c r="L30" s="16"/>
    </row>
    <row r="31" spans="1:12" ht="14.5" x14ac:dyDescent="0.35">
      <c r="A31" s="16"/>
      <c r="B31" s="16"/>
      <c r="C31" s="16"/>
      <c r="D31" s="16"/>
      <c r="E31" s="22" t="str">
        <f ca="1">IFERROR(__xludf.dummyfunction("iferror(1000+INT(($N$2-(index(split(D31,"":""),1)*60+index(split(D31,"":""),2 )))/0.2+1)*$N$3,"""")"),"")</f>
        <v/>
      </c>
      <c r="F31" s="16" t="str">
        <f t="shared" ca="1" si="1"/>
        <v/>
      </c>
      <c r="G31" s="16"/>
      <c r="H31" s="22" t="str">
        <f ca="1">IFERROR(__xludf.dummyfunction("iferror(1000+INT(($N$4-(index(split(G31,"":""),1)*60+index(split(G31,"":""),2 )))/0.2+1)*$N$5,"""")"),"")</f>
        <v/>
      </c>
      <c r="I31" s="16" t="str">
        <f t="shared" ca="1" si="2"/>
        <v/>
      </c>
      <c r="J31" s="16" t="str">
        <f t="shared" si="4"/>
        <v/>
      </c>
      <c r="K31" s="16" t="str">
        <f t="shared" si="3"/>
        <v/>
      </c>
      <c r="L31" s="16"/>
    </row>
    <row r="32" spans="1:12" ht="14.5" x14ac:dyDescent="0.35">
      <c r="A32" s="16"/>
      <c r="B32" s="16"/>
      <c r="C32" s="16"/>
      <c r="D32" s="16"/>
      <c r="E32" s="22" t="str">
        <f ca="1">IFERROR(__xludf.dummyfunction("iferror(1000+INT(($N$2-(index(split(D32,"":""),1)*60+index(split(D32,"":""),2 )))/0.2+1)*$N$3,"""")"),"")</f>
        <v/>
      </c>
      <c r="F32" s="16" t="str">
        <f t="shared" ca="1" si="1"/>
        <v/>
      </c>
      <c r="G32" s="16"/>
      <c r="H32" s="22" t="str">
        <f ca="1">IFERROR(__xludf.dummyfunction("iferror(1000+INT(($N$4-(index(split(G32,"":""),1)*60+index(split(G32,"":""),2 )))/0.2+1)*$N$5,"""")"),"")</f>
        <v/>
      </c>
      <c r="I32" s="16" t="str">
        <f t="shared" ca="1" si="2"/>
        <v/>
      </c>
      <c r="J32" s="16" t="str">
        <f t="shared" si="4"/>
        <v/>
      </c>
      <c r="K32" s="16" t="str">
        <f t="shared" si="3"/>
        <v/>
      </c>
      <c r="L32" s="16"/>
    </row>
    <row r="33" spans="1:12" ht="14.5" x14ac:dyDescent="0.35">
      <c r="A33" s="16"/>
      <c r="B33" s="16"/>
      <c r="C33" s="16"/>
      <c r="D33" s="16"/>
      <c r="E33" s="22" t="str">
        <f ca="1">IFERROR(__xludf.dummyfunction("iferror(1000+INT(($N$2-(index(split(D33,"":""),1)*60+index(split(D33,"":""),2 )))/0.2+1)*$N$3,"""")"),"")</f>
        <v/>
      </c>
      <c r="F33" s="16" t="str">
        <f t="shared" ca="1" si="1"/>
        <v/>
      </c>
      <c r="G33" s="16"/>
      <c r="H33" s="22" t="str">
        <f ca="1">IFERROR(__xludf.dummyfunction("iferror(1000+INT(($N$4-(index(split(G33,"":""),1)*60+index(split(G33,"":""),2 )))/0.2+1)*$N$5,"""")"),"")</f>
        <v/>
      </c>
      <c r="I33" s="16" t="str">
        <f t="shared" ca="1" si="2"/>
        <v/>
      </c>
      <c r="J33" s="16" t="str">
        <f t="shared" si="4"/>
        <v/>
      </c>
      <c r="K33" s="16" t="str">
        <f t="shared" si="3"/>
        <v/>
      </c>
      <c r="L33" s="16"/>
    </row>
    <row r="34" spans="1:12" ht="14.5" x14ac:dyDescent="0.35">
      <c r="A34" s="16"/>
      <c r="B34" s="16"/>
      <c r="C34" s="16"/>
      <c r="D34" s="16"/>
      <c r="E34" s="22" t="str">
        <f ca="1">IFERROR(__xludf.dummyfunction("iferror(1000+INT(($N$2-(index(split(D34,"":""),1)*60+index(split(D34,"":""),2 )))/0.2+1)*$N$3,"""")"),"")</f>
        <v/>
      </c>
      <c r="F34" s="16" t="str">
        <f t="shared" ref="F34:F65" ca="1" si="5">IFERROR(_xlfn.RANK.EQ(E34,E:E),"")</f>
        <v/>
      </c>
      <c r="G34" s="16"/>
      <c r="H34" s="22" t="str">
        <f ca="1">IFERROR(__xludf.dummyfunction("iferror(1000+INT(($N$4-(index(split(G34,"":""),1)*60+index(split(G34,"":""),2 )))/0.2+1)*$N$5,"""")"),"")</f>
        <v/>
      </c>
      <c r="I34" s="16" t="str">
        <f t="shared" ref="I34:I65" ca="1" si="6">IFERROR(_xlfn.RANK.EQ(H34,H:H),"")</f>
        <v/>
      </c>
      <c r="J34" s="16" t="str">
        <f t="shared" ref="J34:J65" si="7">IF(AND(D34="", G34=""), "", E34+H34)</f>
        <v/>
      </c>
      <c r="K34" s="16" t="str">
        <f t="shared" ref="K34:K65" si="8">IFERROR(_xlfn.RANK.EQ(J34,J:J),"")</f>
        <v/>
      </c>
      <c r="L34" s="16"/>
    </row>
    <row r="35" spans="1:12" ht="14.5" x14ac:dyDescent="0.35">
      <c r="A35" s="16"/>
      <c r="B35" s="16"/>
      <c r="C35" s="16"/>
      <c r="D35" s="16"/>
      <c r="E35" s="22" t="str">
        <f ca="1">IFERROR(__xludf.dummyfunction("iferror(1000+INT(($N$2-(index(split(D35,"":""),1)*60+index(split(D35,"":""),2 )))/0.2+1)*$N$3,"""")"),"")</f>
        <v/>
      </c>
      <c r="F35" s="16" t="str">
        <f t="shared" ca="1" si="5"/>
        <v/>
      </c>
      <c r="G35" s="16"/>
      <c r="H35" s="22" t="str">
        <f ca="1">IFERROR(__xludf.dummyfunction("iferror(1000+INT(($N$4-(index(split(G35,"":""),1)*60+index(split(G35,"":""),2 )))/0.2+1)*$N$5,"""")"),"")</f>
        <v/>
      </c>
      <c r="I35" s="16" t="str">
        <f t="shared" ca="1" si="6"/>
        <v/>
      </c>
      <c r="J35" s="16" t="str">
        <f t="shared" si="7"/>
        <v/>
      </c>
      <c r="K35" s="16" t="str">
        <f t="shared" si="8"/>
        <v/>
      </c>
      <c r="L35" s="16"/>
    </row>
    <row r="36" spans="1:12" ht="14.5" x14ac:dyDescent="0.35">
      <c r="A36" s="16"/>
      <c r="B36" s="16"/>
      <c r="C36" s="16"/>
      <c r="D36" s="16"/>
      <c r="E36" s="22" t="str">
        <f ca="1">IFERROR(__xludf.dummyfunction("iferror(1000+INT(($N$2-(index(split(D36,"":""),1)*60+index(split(D36,"":""),2 )))/0.2+1)*$N$3,"""")"),"")</f>
        <v/>
      </c>
      <c r="F36" s="16" t="str">
        <f t="shared" ca="1" si="5"/>
        <v/>
      </c>
      <c r="G36" s="16"/>
      <c r="H36" s="22" t="str">
        <f ca="1">IFERROR(__xludf.dummyfunction("iferror(1000+INT(($N$4-(index(split(G36,"":""),1)*60+index(split(G36,"":""),2 )))/0.2+1)*$N$5,"""")"),"")</f>
        <v/>
      </c>
      <c r="I36" s="16" t="str">
        <f t="shared" ca="1" si="6"/>
        <v/>
      </c>
      <c r="J36" s="16" t="str">
        <f t="shared" si="7"/>
        <v/>
      </c>
      <c r="K36" s="16" t="str">
        <f t="shared" si="8"/>
        <v/>
      </c>
      <c r="L36" s="16"/>
    </row>
    <row r="37" spans="1:12" ht="14.5" x14ac:dyDescent="0.35">
      <c r="A37" s="16"/>
      <c r="B37" s="16"/>
      <c r="C37" s="16"/>
      <c r="D37" s="16"/>
      <c r="E37" s="22" t="str">
        <f ca="1">IFERROR(__xludf.dummyfunction("iferror(1000+INT(($N$2-(index(split(D37,"":""),1)*60+index(split(D37,"":""),2 )))/0.2+1)*$N$3,"""")"),"")</f>
        <v/>
      </c>
      <c r="F37" s="16" t="str">
        <f t="shared" ca="1" si="5"/>
        <v/>
      </c>
      <c r="G37" s="16"/>
      <c r="H37" s="22" t="str">
        <f ca="1">IFERROR(__xludf.dummyfunction("iferror(1000+INT(($N$4-(index(split(G37,"":""),1)*60+index(split(G37,"":""),2 )))/0.2+1)*$N$5,"""")"),"")</f>
        <v/>
      </c>
      <c r="I37" s="16" t="str">
        <f t="shared" ca="1" si="6"/>
        <v/>
      </c>
      <c r="J37" s="16" t="str">
        <f t="shared" si="7"/>
        <v/>
      </c>
      <c r="K37" s="16" t="str">
        <f t="shared" si="8"/>
        <v/>
      </c>
      <c r="L37" s="16"/>
    </row>
    <row r="38" spans="1:12" ht="14.5" x14ac:dyDescent="0.35">
      <c r="A38" s="16"/>
      <c r="B38" s="16"/>
      <c r="C38" s="16"/>
      <c r="D38" s="16"/>
      <c r="E38" s="22" t="str">
        <f ca="1">IFERROR(__xludf.dummyfunction("iferror(1000+INT(($N$2-(index(split(D38,"":""),1)*60+index(split(D38,"":""),2 )))/0.2+1)*$N$3,"""")"),"")</f>
        <v/>
      </c>
      <c r="F38" s="16" t="str">
        <f t="shared" ca="1" si="5"/>
        <v/>
      </c>
      <c r="G38" s="16"/>
      <c r="H38" s="22" t="str">
        <f ca="1">IFERROR(__xludf.dummyfunction("iferror(1000+INT(($N$4-(index(split(G38,"":""),1)*60+index(split(G38,"":""),2 )))/0.2+1)*$N$5,"""")"),"")</f>
        <v/>
      </c>
      <c r="I38" s="16" t="str">
        <f t="shared" ca="1" si="6"/>
        <v/>
      </c>
      <c r="J38" s="16" t="str">
        <f t="shared" si="7"/>
        <v/>
      </c>
      <c r="K38" s="16" t="str">
        <f t="shared" si="8"/>
        <v/>
      </c>
      <c r="L38" s="16"/>
    </row>
    <row r="39" spans="1:12" ht="14.5" x14ac:dyDescent="0.35">
      <c r="A39" s="16"/>
      <c r="B39" s="16"/>
      <c r="C39" s="16"/>
      <c r="D39" s="16"/>
      <c r="E39" s="22" t="str">
        <f ca="1">IFERROR(__xludf.dummyfunction("iferror(1000+INT(($N$2-(index(split(D39,"":""),1)*60+index(split(D39,"":""),2 )))/0.2+1)*$N$3,"""")"),"")</f>
        <v/>
      </c>
      <c r="F39" s="16" t="str">
        <f t="shared" ca="1" si="5"/>
        <v/>
      </c>
      <c r="G39" s="16"/>
      <c r="H39" s="22" t="str">
        <f ca="1">IFERROR(__xludf.dummyfunction("iferror(1000+INT(($N$4-(index(split(G39,"":""),1)*60+index(split(G39,"":""),2 )))/0.2+1)*$N$5,"""")"),"")</f>
        <v/>
      </c>
      <c r="I39" s="16" t="str">
        <f t="shared" ca="1" si="6"/>
        <v/>
      </c>
      <c r="J39" s="16" t="str">
        <f t="shared" si="7"/>
        <v/>
      </c>
      <c r="K39" s="16" t="str">
        <f t="shared" si="8"/>
        <v/>
      </c>
      <c r="L39" s="16"/>
    </row>
    <row r="40" spans="1:12" ht="14.5" x14ac:dyDescent="0.35">
      <c r="A40" s="16"/>
      <c r="B40" s="16"/>
      <c r="C40" s="16"/>
      <c r="D40" s="16"/>
      <c r="E40" s="22" t="str">
        <f ca="1">IFERROR(__xludf.dummyfunction("iferror(1000+INT(($N$2-(index(split(D40,"":""),1)*60+index(split(D40,"":""),2 )))/0.2+1)*$N$3,"""")"),"")</f>
        <v/>
      </c>
      <c r="F40" s="16" t="str">
        <f t="shared" ca="1" si="5"/>
        <v/>
      </c>
      <c r="G40" s="16"/>
      <c r="H40" s="22" t="str">
        <f ca="1">IFERROR(__xludf.dummyfunction("iferror(1000+INT(($N$4-(index(split(G40,"":""),1)*60+index(split(G40,"":""),2 )))/0.2+1)*$N$5,"""")"),"")</f>
        <v/>
      </c>
      <c r="I40" s="16" t="str">
        <f t="shared" ca="1" si="6"/>
        <v/>
      </c>
      <c r="J40" s="16" t="str">
        <f t="shared" si="7"/>
        <v/>
      </c>
      <c r="K40" s="16" t="str">
        <f t="shared" si="8"/>
        <v/>
      </c>
      <c r="L40" s="16"/>
    </row>
    <row r="41" spans="1:12" ht="14.5" x14ac:dyDescent="0.35">
      <c r="A41" s="16"/>
      <c r="B41" s="16"/>
      <c r="C41" s="16"/>
      <c r="D41" s="16"/>
      <c r="E41" s="22" t="str">
        <f ca="1">IFERROR(__xludf.dummyfunction("iferror(1000+INT(($N$2-(index(split(D41,"":""),1)*60+index(split(D41,"":""),2 )))/0.2+1)*$N$3,"""")"),"")</f>
        <v/>
      </c>
      <c r="F41" s="16" t="str">
        <f t="shared" ca="1" si="5"/>
        <v/>
      </c>
      <c r="G41" s="16"/>
      <c r="H41" s="22" t="str">
        <f ca="1">IFERROR(__xludf.dummyfunction("iferror(1000+INT(($N$4-(index(split(G41,"":""),1)*60+index(split(G41,"":""),2 )))/0.2+1)*$N$5,"""")"),"")</f>
        <v/>
      </c>
      <c r="I41" s="16" t="str">
        <f t="shared" ca="1" si="6"/>
        <v/>
      </c>
      <c r="J41" s="16" t="str">
        <f t="shared" si="7"/>
        <v/>
      </c>
      <c r="K41" s="16" t="str">
        <f t="shared" si="8"/>
        <v/>
      </c>
      <c r="L41" s="16"/>
    </row>
    <row r="42" spans="1:12" ht="14.5" x14ac:dyDescent="0.35">
      <c r="A42" s="16"/>
      <c r="B42" s="16"/>
      <c r="C42" s="16"/>
      <c r="D42" s="16"/>
      <c r="E42" s="22" t="str">
        <f ca="1">IFERROR(__xludf.dummyfunction("iferror(1000+INT(($N$2-(index(split(D42,"":""),1)*60+index(split(D42,"":""),2 )))/0.2+1)*$N$3,"""")"),"")</f>
        <v/>
      </c>
      <c r="F42" s="16" t="str">
        <f t="shared" ca="1" si="5"/>
        <v/>
      </c>
      <c r="G42" s="16"/>
      <c r="H42" s="22" t="str">
        <f ca="1">IFERROR(__xludf.dummyfunction("iferror(1000+INT(($N$4-(index(split(G42,"":""),1)*60+index(split(G42,"":""),2 )))/0.2+1)*$N$5,"""")"),"")</f>
        <v/>
      </c>
      <c r="I42" s="16" t="str">
        <f t="shared" ca="1" si="6"/>
        <v/>
      </c>
      <c r="J42" s="16" t="str">
        <f t="shared" si="7"/>
        <v/>
      </c>
      <c r="K42" s="16" t="str">
        <f t="shared" si="8"/>
        <v/>
      </c>
      <c r="L42" s="16"/>
    </row>
    <row r="43" spans="1:12" ht="14.5" x14ac:dyDescent="0.35">
      <c r="A43" s="16"/>
      <c r="B43" s="16"/>
      <c r="C43" s="16"/>
      <c r="D43" s="16"/>
      <c r="E43" s="22" t="str">
        <f ca="1">IFERROR(__xludf.dummyfunction("iferror(1000+INT(($N$2-(index(split(D43,"":""),1)*60+index(split(D43,"":""),2 )))/0.2+1)*$N$3,"""")"),"")</f>
        <v/>
      </c>
      <c r="F43" s="16" t="str">
        <f t="shared" ca="1" si="5"/>
        <v/>
      </c>
      <c r="G43" s="16"/>
      <c r="H43" s="22" t="str">
        <f ca="1">IFERROR(__xludf.dummyfunction("iferror(1000+INT(($N$4-(index(split(G43,"":""),1)*60+index(split(G43,"":""),2 )))/0.2+1)*$N$5,"""")"),"")</f>
        <v/>
      </c>
      <c r="I43" s="16" t="str">
        <f t="shared" ca="1" si="6"/>
        <v/>
      </c>
      <c r="J43" s="16" t="str">
        <f t="shared" si="7"/>
        <v/>
      </c>
      <c r="K43" s="16" t="str">
        <f t="shared" si="8"/>
        <v/>
      </c>
      <c r="L43" s="16"/>
    </row>
    <row r="44" spans="1:12" ht="14.5" x14ac:dyDescent="0.35">
      <c r="A44" s="16"/>
      <c r="B44" s="16"/>
      <c r="C44" s="16"/>
      <c r="D44" s="16"/>
      <c r="E44" s="22" t="str">
        <f ca="1">IFERROR(__xludf.dummyfunction("iferror(1000+INT(($N$2-(index(split(D44,"":""),1)*60+index(split(D44,"":""),2 )))/0.2+1)*$N$3,"""")"),"")</f>
        <v/>
      </c>
      <c r="F44" s="16" t="str">
        <f t="shared" ca="1" si="5"/>
        <v/>
      </c>
      <c r="G44" s="16"/>
      <c r="H44" s="22" t="str">
        <f ca="1">IFERROR(__xludf.dummyfunction("iferror(1000+INT(($N$4-(index(split(G44,"":""),1)*60+index(split(G44,"":""),2 )))/0.2+1)*$N$5,"""")"),"")</f>
        <v/>
      </c>
      <c r="I44" s="16" t="str">
        <f t="shared" ca="1" si="6"/>
        <v/>
      </c>
      <c r="J44" s="16" t="str">
        <f t="shared" si="7"/>
        <v/>
      </c>
      <c r="K44" s="16" t="str">
        <f t="shared" si="8"/>
        <v/>
      </c>
      <c r="L44" s="16"/>
    </row>
    <row r="45" spans="1:12" ht="14.5" x14ac:dyDescent="0.35">
      <c r="A45" s="16"/>
      <c r="B45" s="16"/>
      <c r="C45" s="16"/>
      <c r="D45" s="16"/>
      <c r="E45" s="22" t="str">
        <f ca="1">IFERROR(__xludf.dummyfunction("iferror(1000+INT(($N$2-(index(split(D45,"":""),1)*60+index(split(D45,"":""),2 )))/0.2+1)*$N$3,"""")"),"")</f>
        <v/>
      </c>
      <c r="F45" s="16" t="str">
        <f t="shared" ca="1" si="5"/>
        <v/>
      </c>
      <c r="G45" s="16"/>
      <c r="H45" s="22" t="str">
        <f ca="1">IFERROR(__xludf.dummyfunction("iferror(1000+INT(($N$4-(index(split(G45,"":""),1)*60+index(split(G45,"":""),2 )))/0.2+1)*$N$5,"""")"),"")</f>
        <v/>
      </c>
      <c r="I45" s="16" t="str">
        <f t="shared" ca="1" si="6"/>
        <v/>
      </c>
      <c r="J45" s="16" t="str">
        <f t="shared" si="7"/>
        <v/>
      </c>
      <c r="K45" s="16" t="str">
        <f t="shared" si="8"/>
        <v/>
      </c>
      <c r="L45" s="16"/>
    </row>
    <row r="46" spans="1:12" ht="14.5" x14ac:dyDescent="0.35">
      <c r="A46" s="16"/>
      <c r="B46" s="16"/>
      <c r="C46" s="16"/>
      <c r="D46" s="16"/>
      <c r="E46" s="22" t="str">
        <f ca="1">IFERROR(__xludf.dummyfunction("iferror(1000+INT(($N$2-(index(split(D46,"":""),1)*60+index(split(D46,"":""),2 )))/0.2+1)*$N$3,"""")"),"")</f>
        <v/>
      </c>
      <c r="F46" s="16" t="str">
        <f t="shared" ca="1" si="5"/>
        <v/>
      </c>
      <c r="G46" s="16"/>
      <c r="H46" s="22" t="str">
        <f ca="1">IFERROR(__xludf.dummyfunction("iferror(1000+INT(($N$4-(index(split(G46,"":""),1)*60+index(split(G46,"":""),2 )))/0.2+1)*$N$5,"""")"),"")</f>
        <v/>
      </c>
      <c r="I46" s="16" t="str">
        <f t="shared" ca="1" si="6"/>
        <v/>
      </c>
      <c r="J46" s="16" t="str">
        <f t="shared" si="7"/>
        <v/>
      </c>
      <c r="K46" s="16" t="str">
        <f t="shared" si="8"/>
        <v/>
      </c>
      <c r="L46" s="16"/>
    </row>
    <row r="47" spans="1:12" ht="14.5" x14ac:dyDescent="0.35">
      <c r="A47" s="16"/>
      <c r="B47" s="16"/>
      <c r="C47" s="16"/>
      <c r="D47" s="16"/>
      <c r="E47" s="22" t="str">
        <f ca="1">IFERROR(__xludf.dummyfunction("iferror(1000+INT(($N$2-(index(split(D47,"":""),1)*60+index(split(D47,"":""),2 )))/0.2+1)*$N$3,"""")"),"")</f>
        <v/>
      </c>
      <c r="F47" s="16" t="str">
        <f t="shared" ca="1" si="5"/>
        <v/>
      </c>
      <c r="G47" s="16"/>
      <c r="H47" s="22" t="str">
        <f ca="1">IFERROR(__xludf.dummyfunction("iferror(1000+INT(($N$4-(index(split(G47,"":""),1)*60+index(split(G47,"":""),2 )))/0.2+1)*$N$5,"""")"),"")</f>
        <v/>
      </c>
      <c r="I47" s="16" t="str">
        <f t="shared" ca="1" si="6"/>
        <v/>
      </c>
      <c r="J47" s="16" t="str">
        <f t="shared" si="7"/>
        <v/>
      </c>
      <c r="K47" s="16" t="str">
        <f t="shared" si="8"/>
        <v/>
      </c>
      <c r="L47" s="16"/>
    </row>
    <row r="48" spans="1:12" ht="14.5" x14ac:dyDescent="0.35">
      <c r="A48" s="16"/>
      <c r="B48" s="16"/>
      <c r="C48" s="16"/>
      <c r="D48" s="16"/>
      <c r="E48" s="22" t="str">
        <f ca="1">IFERROR(__xludf.dummyfunction("iferror(1000+INT(($N$2-(index(split(D48,"":""),1)*60+index(split(D48,"":""),2 )))/0.2+1)*$N$3,"""")"),"")</f>
        <v/>
      </c>
      <c r="F48" s="16" t="str">
        <f t="shared" ca="1" si="5"/>
        <v/>
      </c>
      <c r="G48" s="16"/>
      <c r="H48" s="22" t="str">
        <f ca="1">IFERROR(__xludf.dummyfunction("iferror(1000+INT(($N$4-(index(split(G48,"":""),1)*60+index(split(G48,"":""),2 )))/0.2+1)*$N$5,"""")"),"")</f>
        <v/>
      </c>
      <c r="I48" s="16" t="str">
        <f t="shared" ca="1" si="6"/>
        <v/>
      </c>
      <c r="J48" s="16" t="str">
        <f t="shared" si="7"/>
        <v/>
      </c>
      <c r="K48" s="16" t="str">
        <f t="shared" si="8"/>
        <v/>
      </c>
      <c r="L48" s="16"/>
    </row>
    <row r="49" spans="1:12" ht="14.5" x14ac:dyDescent="0.35">
      <c r="A49" s="16"/>
      <c r="B49" s="16"/>
      <c r="C49" s="16"/>
      <c r="D49" s="16"/>
      <c r="E49" s="22" t="str">
        <f ca="1">IFERROR(__xludf.dummyfunction("iferror(1000+INT(($N$2-(index(split(D49,"":""),1)*60+index(split(D49,"":""),2 )))/0.2+1)*$N$3,"""")"),"")</f>
        <v/>
      </c>
      <c r="F49" s="16" t="str">
        <f t="shared" ca="1" si="5"/>
        <v/>
      </c>
      <c r="G49" s="16"/>
      <c r="H49" s="22" t="str">
        <f ca="1">IFERROR(__xludf.dummyfunction("iferror(1000+INT(($N$4-(index(split(G49,"":""),1)*60+index(split(G49,"":""),2 )))/0.2+1)*$N$5,"""")"),"")</f>
        <v/>
      </c>
      <c r="I49" s="16" t="str">
        <f t="shared" ca="1" si="6"/>
        <v/>
      </c>
      <c r="J49" s="16" t="str">
        <f t="shared" si="7"/>
        <v/>
      </c>
      <c r="K49" s="16" t="str">
        <f t="shared" si="8"/>
        <v/>
      </c>
      <c r="L49" s="16"/>
    </row>
    <row r="50" spans="1:12" ht="14.5" x14ac:dyDescent="0.35">
      <c r="A50" s="16"/>
      <c r="B50" s="16"/>
      <c r="C50" s="16"/>
      <c r="D50" s="16"/>
      <c r="E50" s="22" t="str">
        <f ca="1">IFERROR(__xludf.dummyfunction("iferror(1000+INT(($N$2-(index(split(D50,"":""),1)*60+index(split(D50,"":""),2 )))/0.2+1)*$N$3,"""")"),"")</f>
        <v/>
      </c>
      <c r="F50" s="16" t="str">
        <f t="shared" ca="1" si="5"/>
        <v/>
      </c>
      <c r="G50" s="16"/>
      <c r="H50" s="22" t="str">
        <f ca="1">IFERROR(__xludf.dummyfunction("iferror(1000+INT(($N$4-(index(split(G50,"":""),1)*60+index(split(G50,"":""),2 )))/0.2+1)*$N$5,"""")"),"")</f>
        <v/>
      </c>
      <c r="I50" s="16" t="str">
        <f t="shared" ca="1" si="6"/>
        <v/>
      </c>
      <c r="J50" s="16" t="str">
        <f t="shared" si="7"/>
        <v/>
      </c>
      <c r="K50" s="16" t="str">
        <f t="shared" si="8"/>
        <v/>
      </c>
      <c r="L50" s="16"/>
    </row>
    <row r="51" spans="1:12" ht="14.5" x14ac:dyDescent="0.35">
      <c r="A51" s="16"/>
      <c r="B51" s="16"/>
      <c r="C51" s="16"/>
      <c r="D51" s="16"/>
      <c r="E51" s="22" t="str">
        <f ca="1">IFERROR(__xludf.dummyfunction("iferror(1000+INT(($N$2-(index(split(D51,"":""),1)*60+index(split(D51,"":""),2 )))/0.2+1)*$N$3,"""")"),"")</f>
        <v/>
      </c>
      <c r="F51" s="16" t="str">
        <f t="shared" ca="1" si="5"/>
        <v/>
      </c>
      <c r="G51" s="16"/>
      <c r="H51" s="22" t="str">
        <f ca="1">IFERROR(__xludf.dummyfunction("iferror(1000+INT(($N$4-(index(split(G51,"":""),1)*60+index(split(G51,"":""),2 )))/0.2+1)*$N$5,"""")"),"")</f>
        <v/>
      </c>
      <c r="I51" s="16" t="str">
        <f t="shared" ca="1" si="6"/>
        <v/>
      </c>
      <c r="J51" s="16" t="str">
        <f t="shared" si="7"/>
        <v/>
      </c>
      <c r="K51" s="16" t="str">
        <f t="shared" si="8"/>
        <v/>
      </c>
      <c r="L51" s="16"/>
    </row>
    <row r="52" spans="1:12" ht="14.5" x14ac:dyDescent="0.35">
      <c r="A52" s="16"/>
      <c r="B52" s="16"/>
      <c r="C52" s="16"/>
      <c r="D52" s="16"/>
      <c r="E52" s="22" t="str">
        <f ca="1">IFERROR(__xludf.dummyfunction("iferror(1000+INT(($N$2-(index(split(D52,"":""),1)*60+index(split(D52,"":""),2 )))/0.2+1)*$N$3,"""")"),"")</f>
        <v/>
      </c>
      <c r="F52" s="16" t="str">
        <f t="shared" ca="1" si="5"/>
        <v/>
      </c>
      <c r="G52" s="16"/>
      <c r="H52" s="22" t="str">
        <f ca="1">IFERROR(__xludf.dummyfunction("iferror(1000+INT(($N$4-(index(split(G52,"":""),1)*60+index(split(G52,"":""),2 )))/0.2+1)*$N$5,"""")"),"")</f>
        <v/>
      </c>
      <c r="I52" s="16" t="str">
        <f t="shared" ca="1" si="6"/>
        <v/>
      </c>
      <c r="J52" s="16" t="str">
        <f t="shared" si="7"/>
        <v/>
      </c>
      <c r="K52" s="16" t="str">
        <f t="shared" si="8"/>
        <v/>
      </c>
      <c r="L52" s="16"/>
    </row>
    <row r="53" spans="1:12" ht="14.5" x14ac:dyDescent="0.35">
      <c r="A53" s="16"/>
      <c r="B53" s="16"/>
      <c r="C53" s="16"/>
      <c r="D53" s="16"/>
      <c r="E53" s="22" t="str">
        <f ca="1">IFERROR(__xludf.dummyfunction("iferror(1000+INT(($N$2-(index(split(D53,"":""),1)*60+index(split(D53,"":""),2 )))/0.2+1)*$N$3,"""")"),"")</f>
        <v/>
      </c>
      <c r="F53" s="16" t="str">
        <f t="shared" ca="1" si="5"/>
        <v/>
      </c>
      <c r="G53" s="16"/>
      <c r="H53" s="22" t="str">
        <f ca="1">IFERROR(__xludf.dummyfunction("iferror(1000+INT(($N$4-(index(split(G53,"":""),1)*60+index(split(G53,"":""),2 )))/0.2+1)*$N$5,"""")"),"")</f>
        <v/>
      </c>
      <c r="I53" s="16" t="str">
        <f t="shared" ca="1" si="6"/>
        <v/>
      </c>
      <c r="J53" s="16" t="str">
        <f t="shared" si="7"/>
        <v/>
      </c>
      <c r="K53" s="16" t="str">
        <f t="shared" si="8"/>
        <v/>
      </c>
      <c r="L53" s="16"/>
    </row>
    <row r="54" spans="1:12" ht="14.5" x14ac:dyDescent="0.35">
      <c r="A54" s="16"/>
      <c r="B54" s="16"/>
      <c r="C54" s="16"/>
      <c r="D54" s="16"/>
      <c r="E54" s="22" t="str">
        <f ca="1">IFERROR(__xludf.dummyfunction("iferror(1000+INT(($N$2-(index(split(D54,"":""),1)*60+index(split(D54,"":""),2 )))/0.2+1)*$N$3,"""")"),"")</f>
        <v/>
      </c>
      <c r="F54" s="16" t="str">
        <f t="shared" ca="1" si="5"/>
        <v/>
      </c>
      <c r="G54" s="16"/>
      <c r="H54" s="22" t="str">
        <f ca="1">IFERROR(__xludf.dummyfunction("iferror(1000+INT(($N$4-(index(split(G54,"":""),1)*60+index(split(G54,"":""),2 )))/0.2+1)*$N$5,"""")"),"")</f>
        <v/>
      </c>
      <c r="I54" s="16" t="str">
        <f t="shared" ca="1" si="6"/>
        <v/>
      </c>
      <c r="J54" s="16" t="str">
        <f t="shared" si="7"/>
        <v/>
      </c>
      <c r="K54" s="16" t="str">
        <f t="shared" si="8"/>
        <v/>
      </c>
      <c r="L54" s="16"/>
    </row>
    <row r="55" spans="1:12" ht="14.5" x14ac:dyDescent="0.35">
      <c r="A55" s="16"/>
      <c r="B55" s="16"/>
      <c r="C55" s="16"/>
      <c r="D55" s="16"/>
      <c r="E55" s="22" t="str">
        <f ca="1">IFERROR(__xludf.dummyfunction("iferror(1000+INT(($N$2-(index(split(D55,"":""),1)*60+index(split(D55,"":""),2 )))/0.2+1)*$N$3,"""")"),"")</f>
        <v/>
      </c>
      <c r="F55" s="16" t="str">
        <f t="shared" ca="1" si="5"/>
        <v/>
      </c>
      <c r="G55" s="16"/>
      <c r="H55" s="22" t="str">
        <f ca="1">IFERROR(__xludf.dummyfunction("iferror(1000+INT(($N$4-(index(split(G55,"":""),1)*60+index(split(G55,"":""),2 )))/0.2+1)*$N$5,"""")"),"")</f>
        <v/>
      </c>
      <c r="I55" s="16" t="str">
        <f t="shared" ca="1" si="6"/>
        <v/>
      </c>
      <c r="J55" s="16" t="str">
        <f t="shared" si="7"/>
        <v/>
      </c>
      <c r="K55" s="16" t="str">
        <f t="shared" si="8"/>
        <v/>
      </c>
      <c r="L55" s="16"/>
    </row>
    <row r="56" spans="1:12" ht="14.5" x14ac:dyDescent="0.35">
      <c r="A56" s="16"/>
      <c r="B56" s="16"/>
      <c r="C56" s="16"/>
      <c r="D56" s="16"/>
      <c r="E56" s="22" t="str">
        <f ca="1">IFERROR(__xludf.dummyfunction("iferror(1000+INT(($N$2-(index(split(D56,"":""),1)*60+index(split(D56,"":""),2 )))/0.2+1)*$N$3,"""")"),"")</f>
        <v/>
      </c>
      <c r="F56" s="16" t="str">
        <f t="shared" ca="1" si="5"/>
        <v/>
      </c>
      <c r="G56" s="16"/>
      <c r="H56" s="22" t="str">
        <f ca="1">IFERROR(__xludf.dummyfunction("iferror(1000+INT(($N$4-(index(split(G56,"":""),1)*60+index(split(G56,"":""),2 )))/0.2+1)*$N$5,"""")"),"")</f>
        <v/>
      </c>
      <c r="I56" s="16" t="str">
        <f t="shared" ca="1" si="6"/>
        <v/>
      </c>
      <c r="J56" s="16" t="str">
        <f t="shared" si="7"/>
        <v/>
      </c>
      <c r="K56" s="16" t="str">
        <f t="shared" si="8"/>
        <v/>
      </c>
      <c r="L56" s="16"/>
    </row>
    <row r="57" spans="1:12" ht="14.5" x14ac:dyDescent="0.35">
      <c r="A57" s="16"/>
      <c r="B57" s="16"/>
      <c r="C57" s="16"/>
      <c r="D57" s="16"/>
      <c r="E57" s="22" t="str">
        <f ca="1">IFERROR(__xludf.dummyfunction("iferror(1000+INT(($N$2-(index(split(D57,"":""),1)*60+index(split(D57,"":""),2 )))/0.2+1)*$N$3,"""")"),"")</f>
        <v/>
      </c>
      <c r="F57" s="16" t="str">
        <f t="shared" ca="1" si="5"/>
        <v/>
      </c>
      <c r="G57" s="16"/>
      <c r="H57" s="22" t="str">
        <f ca="1">IFERROR(__xludf.dummyfunction("iferror(1000+INT(($N$4-(index(split(G57,"":""),1)*60+index(split(G57,"":""),2 )))/0.2+1)*$N$5,"""")"),"")</f>
        <v/>
      </c>
      <c r="I57" s="16" t="str">
        <f t="shared" ca="1" si="6"/>
        <v/>
      </c>
      <c r="J57" s="16" t="str">
        <f t="shared" si="7"/>
        <v/>
      </c>
      <c r="K57" s="16" t="str">
        <f t="shared" si="8"/>
        <v/>
      </c>
      <c r="L57" s="16"/>
    </row>
    <row r="58" spans="1:12" ht="14.5" x14ac:dyDescent="0.35">
      <c r="A58" s="16"/>
      <c r="B58" s="16"/>
      <c r="C58" s="16"/>
      <c r="D58" s="16"/>
      <c r="E58" s="22" t="str">
        <f ca="1">IFERROR(__xludf.dummyfunction("iferror(1000+INT(($N$2-(index(split(D58,"":""),1)*60+index(split(D58,"":""),2 )))/0.2+1)*$N$3,"""")"),"")</f>
        <v/>
      </c>
      <c r="F58" s="16" t="str">
        <f t="shared" ca="1" si="5"/>
        <v/>
      </c>
      <c r="G58" s="16"/>
      <c r="H58" s="22" t="str">
        <f ca="1">IFERROR(__xludf.dummyfunction("iferror(1000+INT(($N$4-(index(split(G58,"":""),1)*60+index(split(G58,"":""),2 )))/0.2+1)*$N$5,"""")"),"")</f>
        <v/>
      </c>
      <c r="I58" s="16" t="str">
        <f t="shared" ca="1" si="6"/>
        <v/>
      </c>
      <c r="J58" s="16" t="str">
        <f t="shared" si="7"/>
        <v/>
      </c>
      <c r="K58" s="16" t="str">
        <f t="shared" si="8"/>
        <v/>
      </c>
      <c r="L58" s="16"/>
    </row>
    <row r="59" spans="1:12" ht="14.5" x14ac:dyDescent="0.35">
      <c r="A59" s="16"/>
      <c r="B59" s="16"/>
      <c r="C59" s="16"/>
      <c r="D59" s="16"/>
      <c r="E59" s="22" t="str">
        <f ca="1">IFERROR(__xludf.dummyfunction("iferror(1000+INT(($N$2-(index(split(D59,"":""),1)*60+index(split(D59,"":""),2 )))/0.2+1)*$N$3,"""")"),"")</f>
        <v/>
      </c>
      <c r="F59" s="16" t="str">
        <f t="shared" ca="1" si="5"/>
        <v/>
      </c>
      <c r="G59" s="16"/>
      <c r="H59" s="22" t="str">
        <f ca="1">IFERROR(__xludf.dummyfunction("iferror(1000+INT(($N$4-(index(split(G59,"":""),1)*60+index(split(G59,"":""),2 )))/0.2+1)*$N$5,"""")"),"")</f>
        <v/>
      </c>
      <c r="I59" s="16" t="str">
        <f t="shared" ca="1" si="6"/>
        <v/>
      </c>
      <c r="J59" s="16" t="str">
        <f t="shared" si="7"/>
        <v/>
      </c>
      <c r="K59" s="16" t="str">
        <f t="shared" si="8"/>
        <v/>
      </c>
      <c r="L59" s="16"/>
    </row>
    <row r="60" spans="1:12" ht="14.5" x14ac:dyDescent="0.35">
      <c r="A60" s="16"/>
      <c r="B60" s="16"/>
      <c r="C60" s="16"/>
      <c r="D60" s="16"/>
      <c r="E60" s="22" t="str">
        <f ca="1">IFERROR(__xludf.dummyfunction("iferror(1000+INT(($N$2-(index(split(D60,"":""),1)*60+index(split(D60,"":""),2 )))/0.2+1)*$N$3,"""")"),"")</f>
        <v/>
      </c>
      <c r="F60" s="16" t="str">
        <f t="shared" ca="1" si="5"/>
        <v/>
      </c>
      <c r="G60" s="16"/>
      <c r="H60" s="22" t="str">
        <f ca="1">IFERROR(__xludf.dummyfunction("iferror(1000+INT(($N$4-(index(split(G60,"":""),1)*60+index(split(G60,"":""),2 )))/0.2+1)*$N$5,"""")"),"")</f>
        <v/>
      </c>
      <c r="I60" s="16" t="str">
        <f t="shared" ca="1" si="6"/>
        <v/>
      </c>
      <c r="J60" s="16" t="str">
        <f t="shared" si="7"/>
        <v/>
      </c>
      <c r="K60" s="16" t="str">
        <f t="shared" si="8"/>
        <v/>
      </c>
      <c r="L60" s="16"/>
    </row>
    <row r="61" spans="1:12" ht="14.5" x14ac:dyDescent="0.35">
      <c r="A61" s="16"/>
      <c r="B61" s="16"/>
      <c r="C61" s="16"/>
      <c r="D61" s="16"/>
      <c r="E61" s="22" t="str">
        <f ca="1">IFERROR(__xludf.dummyfunction("iferror(1000+INT(($N$2-(index(split(D61,"":""),1)*60+index(split(D61,"":""),2 )))/0.2+1)*$N$3,"""")"),"")</f>
        <v/>
      </c>
      <c r="F61" s="16" t="str">
        <f t="shared" ca="1" si="5"/>
        <v/>
      </c>
      <c r="G61" s="16"/>
      <c r="H61" s="22" t="str">
        <f ca="1">IFERROR(__xludf.dummyfunction("iferror(1000+INT(($N$4-(index(split(G61,"":""),1)*60+index(split(G61,"":""),2 )))/0.2+1)*$N$5,"""")"),"")</f>
        <v/>
      </c>
      <c r="I61" s="16" t="str">
        <f t="shared" ca="1" si="6"/>
        <v/>
      </c>
      <c r="J61" s="16" t="str">
        <f t="shared" si="7"/>
        <v/>
      </c>
      <c r="K61" s="16" t="str">
        <f t="shared" si="8"/>
        <v/>
      </c>
      <c r="L61" s="16"/>
    </row>
    <row r="62" spans="1:12" ht="14.5" x14ac:dyDescent="0.35">
      <c r="A62" s="16"/>
      <c r="B62" s="16"/>
      <c r="C62" s="16"/>
      <c r="D62" s="16"/>
      <c r="E62" s="22" t="str">
        <f ca="1">IFERROR(__xludf.dummyfunction("iferror(1000+INT(($N$2-(index(split(D62,"":""),1)*60+index(split(D62,"":""),2 )))/0.2+1)*$N$3,"""")"),"")</f>
        <v/>
      </c>
      <c r="F62" s="16" t="str">
        <f t="shared" ca="1" si="5"/>
        <v/>
      </c>
      <c r="G62" s="16"/>
      <c r="H62" s="22" t="str">
        <f ca="1">IFERROR(__xludf.dummyfunction("iferror(1000+INT(($N$4-(index(split(G62,"":""),1)*60+index(split(G62,"":""),2 )))/0.2+1)*$N$5,"""")"),"")</f>
        <v/>
      </c>
      <c r="I62" s="16" t="str">
        <f t="shared" ca="1" si="6"/>
        <v/>
      </c>
      <c r="J62" s="16" t="str">
        <f t="shared" si="7"/>
        <v/>
      </c>
      <c r="K62" s="16" t="str">
        <f t="shared" si="8"/>
        <v/>
      </c>
      <c r="L62" s="16"/>
    </row>
    <row r="63" spans="1:12" ht="14.5" x14ac:dyDescent="0.35">
      <c r="A63" s="16"/>
      <c r="B63" s="16"/>
      <c r="C63" s="16"/>
      <c r="D63" s="16"/>
      <c r="E63" s="22" t="str">
        <f ca="1">IFERROR(__xludf.dummyfunction("iferror(1000+INT(($N$2-(index(split(D63,"":""),1)*60+index(split(D63,"":""),2 )))/0.2+1)*$N$3,"""")"),"")</f>
        <v/>
      </c>
      <c r="F63" s="16" t="str">
        <f t="shared" ca="1" si="5"/>
        <v/>
      </c>
      <c r="G63" s="16"/>
      <c r="H63" s="22" t="str">
        <f ca="1">IFERROR(__xludf.dummyfunction("iferror(1000+INT(($N$4-(index(split(G63,"":""),1)*60+index(split(G63,"":""),2 )))/0.2+1)*$N$5,"""")"),"")</f>
        <v/>
      </c>
      <c r="I63" s="16" t="str">
        <f t="shared" ca="1" si="6"/>
        <v/>
      </c>
      <c r="J63" s="16" t="str">
        <f t="shared" si="7"/>
        <v/>
      </c>
      <c r="K63" s="16" t="str">
        <f t="shared" si="8"/>
        <v/>
      </c>
      <c r="L63" s="16"/>
    </row>
    <row r="64" spans="1:12" ht="14.5" x14ac:dyDescent="0.35">
      <c r="A64" s="16"/>
      <c r="B64" s="16"/>
      <c r="C64" s="16"/>
      <c r="D64" s="16"/>
      <c r="E64" s="22" t="str">
        <f ca="1">IFERROR(__xludf.dummyfunction("iferror(1000+INT(($N$2-(index(split(D64,"":""),1)*60+index(split(D64,"":""),2 )))/0.2+1)*$N$3,"""")"),"")</f>
        <v/>
      </c>
      <c r="F64" s="16" t="str">
        <f t="shared" ca="1" si="5"/>
        <v/>
      </c>
      <c r="G64" s="16"/>
      <c r="H64" s="22" t="str">
        <f ca="1">IFERROR(__xludf.dummyfunction("iferror(1000+INT(($N$4-(index(split(G64,"":""),1)*60+index(split(G64,"":""),2 )))/0.2+1)*$N$5,"""")"),"")</f>
        <v/>
      </c>
      <c r="I64" s="16" t="str">
        <f t="shared" ca="1" si="6"/>
        <v/>
      </c>
      <c r="J64" s="16" t="str">
        <f t="shared" si="7"/>
        <v/>
      </c>
      <c r="K64" s="16" t="str">
        <f t="shared" si="8"/>
        <v/>
      </c>
      <c r="L64" s="16"/>
    </row>
    <row r="65" spans="1:12" ht="14.5" x14ac:dyDescent="0.35">
      <c r="A65" s="16"/>
      <c r="B65" s="16"/>
      <c r="C65" s="16"/>
      <c r="D65" s="16"/>
      <c r="E65" s="22" t="str">
        <f ca="1">IFERROR(__xludf.dummyfunction("iferror(1000+INT(($N$2-(index(split(D65,"":""),1)*60+index(split(D65,"":""),2 )))/0.2+1)*$N$3,"""")"),"")</f>
        <v/>
      </c>
      <c r="F65" s="16" t="str">
        <f t="shared" ca="1" si="5"/>
        <v/>
      </c>
      <c r="G65" s="16"/>
      <c r="H65" s="22" t="str">
        <f ca="1">IFERROR(__xludf.dummyfunction("iferror(1000+INT(($N$4-(index(split(G65,"":""),1)*60+index(split(G65,"":""),2 )))/0.2+1)*$N$5,"""")"),"")</f>
        <v/>
      </c>
      <c r="I65" s="16" t="str">
        <f t="shared" ca="1" si="6"/>
        <v/>
      </c>
      <c r="J65" s="16" t="str">
        <f t="shared" si="7"/>
        <v/>
      </c>
      <c r="K65" s="16" t="str">
        <f t="shared" si="8"/>
        <v/>
      </c>
      <c r="L65" s="16"/>
    </row>
    <row r="66" spans="1:12" ht="14.5" x14ac:dyDescent="0.35">
      <c r="A66" s="16"/>
      <c r="B66" s="16"/>
      <c r="C66" s="16"/>
      <c r="D66" s="16"/>
      <c r="E66" s="22" t="str">
        <f ca="1">IFERROR(__xludf.dummyfunction("iferror(1000+INT(($N$2-(index(split(D66,"":""),1)*60+index(split(D66,"":""),2 )))/0.2+1)*$N$3,"""")"),"")</f>
        <v/>
      </c>
      <c r="F66" s="16" t="str">
        <f t="shared" ref="F66:F97" ca="1" si="9">IFERROR(_xlfn.RANK.EQ(E66,E:E),"")</f>
        <v/>
      </c>
      <c r="G66" s="16"/>
      <c r="H66" s="22" t="str">
        <f ca="1">IFERROR(__xludf.dummyfunction("iferror(1000+INT(($N$4-(index(split(G66,"":""),1)*60+index(split(G66,"":""),2 )))/0.2+1)*$N$5,"""")"),"")</f>
        <v/>
      </c>
      <c r="I66" s="16" t="str">
        <f t="shared" ref="I66:I97" ca="1" si="10">IFERROR(_xlfn.RANK.EQ(H66,H:H),"")</f>
        <v/>
      </c>
      <c r="J66" s="16" t="str">
        <f t="shared" ref="J66:J100" si="11">IF(AND(D66="", G66=""), "", E66+H66)</f>
        <v/>
      </c>
      <c r="K66" s="16" t="str">
        <f t="shared" ref="K66:K97" si="12">IFERROR(_xlfn.RANK.EQ(J66,J:J),"")</f>
        <v/>
      </c>
      <c r="L66" s="16"/>
    </row>
    <row r="67" spans="1:12" ht="14.5" x14ac:dyDescent="0.35">
      <c r="A67" s="16"/>
      <c r="B67" s="16"/>
      <c r="C67" s="16"/>
      <c r="D67" s="16"/>
      <c r="E67" s="22" t="str">
        <f ca="1">IFERROR(__xludf.dummyfunction("iferror(1000+INT(($N$2-(index(split(D67,"":""),1)*60+index(split(D67,"":""),2 )))/0.2+1)*$N$3,"""")"),"")</f>
        <v/>
      </c>
      <c r="F67" s="16" t="str">
        <f t="shared" ca="1" si="9"/>
        <v/>
      </c>
      <c r="G67" s="16"/>
      <c r="H67" s="22" t="str">
        <f ca="1">IFERROR(__xludf.dummyfunction("iferror(1000+INT(($N$4-(index(split(G67,"":""),1)*60+index(split(G67,"":""),2 )))/0.2+1)*$N$5,"""")"),"")</f>
        <v/>
      </c>
      <c r="I67" s="16" t="str">
        <f t="shared" ca="1" si="10"/>
        <v/>
      </c>
      <c r="J67" s="16" t="str">
        <f t="shared" si="11"/>
        <v/>
      </c>
      <c r="K67" s="16" t="str">
        <f t="shared" si="12"/>
        <v/>
      </c>
      <c r="L67" s="16"/>
    </row>
    <row r="68" spans="1:12" ht="14.5" x14ac:dyDescent="0.35">
      <c r="A68" s="16"/>
      <c r="B68" s="16"/>
      <c r="C68" s="16"/>
      <c r="D68" s="16"/>
      <c r="E68" s="22" t="str">
        <f ca="1">IFERROR(__xludf.dummyfunction("iferror(1000+INT(($N$2-(index(split(D68,"":""),1)*60+index(split(D68,"":""),2 )))/0.2+1)*$N$3,"""")"),"")</f>
        <v/>
      </c>
      <c r="F68" s="16" t="str">
        <f t="shared" ca="1" si="9"/>
        <v/>
      </c>
      <c r="G68" s="16"/>
      <c r="H68" s="22" t="str">
        <f ca="1">IFERROR(__xludf.dummyfunction("iferror(1000+INT(($N$4-(index(split(G68,"":""),1)*60+index(split(G68,"":""),2 )))/0.2+1)*$N$5,"""")"),"")</f>
        <v/>
      </c>
      <c r="I68" s="16" t="str">
        <f t="shared" ca="1" si="10"/>
        <v/>
      </c>
      <c r="J68" s="16" t="str">
        <f t="shared" si="11"/>
        <v/>
      </c>
      <c r="K68" s="16" t="str">
        <f t="shared" si="12"/>
        <v/>
      </c>
      <c r="L68" s="16"/>
    </row>
    <row r="69" spans="1:12" ht="14.5" x14ac:dyDescent="0.35">
      <c r="A69" s="16"/>
      <c r="B69" s="16"/>
      <c r="C69" s="16"/>
      <c r="D69" s="16"/>
      <c r="E69" s="22" t="str">
        <f ca="1">IFERROR(__xludf.dummyfunction("iferror(1000+INT(($N$2-(index(split(D69,"":""),1)*60+index(split(D69,"":""),2 )))/0.2+1)*$N$3,"""")"),"")</f>
        <v/>
      </c>
      <c r="F69" s="16" t="str">
        <f t="shared" ca="1" si="9"/>
        <v/>
      </c>
      <c r="G69" s="16"/>
      <c r="H69" s="22" t="str">
        <f ca="1">IFERROR(__xludf.dummyfunction("iferror(1000+INT(($N$4-(index(split(G69,"":""),1)*60+index(split(G69,"":""),2 )))/0.2+1)*$N$5,"""")"),"")</f>
        <v/>
      </c>
      <c r="I69" s="16" t="str">
        <f t="shared" ca="1" si="10"/>
        <v/>
      </c>
      <c r="J69" s="16" t="str">
        <f t="shared" si="11"/>
        <v/>
      </c>
      <c r="K69" s="16" t="str">
        <f t="shared" si="12"/>
        <v/>
      </c>
      <c r="L69" s="16"/>
    </row>
    <row r="70" spans="1:12" ht="14.5" x14ac:dyDescent="0.35">
      <c r="A70" s="16"/>
      <c r="B70" s="16"/>
      <c r="C70" s="16"/>
      <c r="D70" s="16"/>
      <c r="E70" s="22" t="str">
        <f ca="1">IFERROR(__xludf.dummyfunction("iferror(1000+INT(($N$2-(index(split(D70,"":""),1)*60+index(split(D70,"":""),2 )))/0.2+1)*$N$3,"""")"),"")</f>
        <v/>
      </c>
      <c r="F70" s="16" t="str">
        <f t="shared" ca="1" si="9"/>
        <v/>
      </c>
      <c r="G70" s="16"/>
      <c r="H70" s="22" t="str">
        <f ca="1">IFERROR(__xludf.dummyfunction("iferror(1000+INT(($N$4-(index(split(G70,"":""),1)*60+index(split(G70,"":""),2 )))/0.2+1)*$N$5,"""")"),"")</f>
        <v/>
      </c>
      <c r="I70" s="16" t="str">
        <f t="shared" ca="1" si="10"/>
        <v/>
      </c>
      <c r="J70" s="16" t="str">
        <f t="shared" si="11"/>
        <v/>
      </c>
      <c r="K70" s="16" t="str">
        <f t="shared" si="12"/>
        <v/>
      </c>
      <c r="L70" s="16"/>
    </row>
    <row r="71" spans="1:12" ht="14.5" x14ac:dyDescent="0.35">
      <c r="A71" s="16"/>
      <c r="B71" s="16"/>
      <c r="C71" s="16"/>
      <c r="D71" s="16"/>
      <c r="E71" s="22" t="str">
        <f ca="1">IFERROR(__xludf.dummyfunction("iferror(1000+INT(($N$2-(index(split(D71,"":""),1)*60+index(split(D71,"":""),2 )))/0.2+1)*$N$3,"""")"),"")</f>
        <v/>
      </c>
      <c r="F71" s="16" t="str">
        <f t="shared" ca="1" si="9"/>
        <v/>
      </c>
      <c r="G71" s="16"/>
      <c r="H71" s="22" t="str">
        <f ca="1">IFERROR(__xludf.dummyfunction("iferror(1000+INT(($N$4-(index(split(G71,"":""),1)*60+index(split(G71,"":""),2 )))/0.2+1)*$N$5,"""")"),"")</f>
        <v/>
      </c>
      <c r="I71" s="16" t="str">
        <f t="shared" ca="1" si="10"/>
        <v/>
      </c>
      <c r="J71" s="16" t="str">
        <f t="shared" si="11"/>
        <v/>
      </c>
      <c r="K71" s="16" t="str">
        <f t="shared" si="12"/>
        <v/>
      </c>
      <c r="L71" s="16"/>
    </row>
    <row r="72" spans="1:12" ht="14.5" x14ac:dyDescent="0.35">
      <c r="A72" s="16"/>
      <c r="B72" s="16"/>
      <c r="C72" s="16"/>
      <c r="D72" s="16"/>
      <c r="E72" s="22" t="str">
        <f ca="1">IFERROR(__xludf.dummyfunction("iferror(1000+INT(($N$2-(index(split(D72,"":""),1)*60+index(split(D72,"":""),2 )))/0.2+1)*$N$3,"""")"),"")</f>
        <v/>
      </c>
      <c r="F72" s="16" t="str">
        <f t="shared" ca="1" si="9"/>
        <v/>
      </c>
      <c r="G72" s="16"/>
      <c r="H72" s="22" t="str">
        <f ca="1">IFERROR(__xludf.dummyfunction("iferror(1000+INT(($N$4-(index(split(G72,"":""),1)*60+index(split(G72,"":""),2 )))/0.2+1)*$N$5,"""")"),"")</f>
        <v/>
      </c>
      <c r="I72" s="16" t="str">
        <f t="shared" ca="1" si="10"/>
        <v/>
      </c>
      <c r="J72" s="16" t="str">
        <f t="shared" si="11"/>
        <v/>
      </c>
      <c r="K72" s="16" t="str">
        <f t="shared" si="12"/>
        <v/>
      </c>
      <c r="L72" s="16"/>
    </row>
    <row r="73" spans="1:12" ht="14.5" x14ac:dyDescent="0.35">
      <c r="A73" s="16"/>
      <c r="B73" s="16"/>
      <c r="C73" s="16"/>
      <c r="D73" s="16"/>
      <c r="E73" s="22" t="str">
        <f ca="1">IFERROR(__xludf.dummyfunction("iferror(1000+INT(($N$2-(index(split(D73,"":""),1)*60+index(split(D73,"":""),2 )))/0.2+1)*$N$3,"""")"),"")</f>
        <v/>
      </c>
      <c r="F73" s="16" t="str">
        <f t="shared" ca="1" si="9"/>
        <v/>
      </c>
      <c r="G73" s="16"/>
      <c r="H73" s="22" t="str">
        <f ca="1">IFERROR(__xludf.dummyfunction("iferror(1000+INT(($N$4-(index(split(G73,"":""),1)*60+index(split(G73,"":""),2 )))/0.2+1)*$N$5,"""")"),"")</f>
        <v/>
      </c>
      <c r="I73" s="16" t="str">
        <f t="shared" ca="1" si="10"/>
        <v/>
      </c>
      <c r="J73" s="16" t="str">
        <f t="shared" si="11"/>
        <v/>
      </c>
      <c r="K73" s="16" t="str">
        <f t="shared" si="12"/>
        <v/>
      </c>
      <c r="L73" s="16"/>
    </row>
    <row r="74" spans="1:12" ht="14.5" x14ac:dyDescent="0.35">
      <c r="A74" s="16"/>
      <c r="B74" s="16"/>
      <c r="C74" s="16"/>
      <c r="D74" s="16"/>
      <c r="E74" s="22" t="str">
        <f ca="1">IFERROR(__xludf.dummyfunction("iferror(1000+INT(($N$2-(index(split(D74,"":""),1)*60+index(split(D74,"":""),2 )))/0.2+1)*$N$3,"""")"),"")</f>
        <v/>
      </c>
      <c r="F74" s="16" t="str">
        <f t="shared" ca="1" si="9"/>
        <v/>
      </c>
      <c r="G74" s="16"/>
      <c r="H74" s="22" t="str">
        <f ca="1">IFERROR(__xludf.dummyfunction("iferror(1000+INT(($N$4-(index(split(G74,"":""),1)*60+index(split(G74,"":""),2 )))/0.2+1)*$N$5,"""")"),"")</f>
        <v/>
      </c>
      <c r="I74" s="16" t="str">
        <f t="shared" ca="1" si="10"/>
        <v/>
      </c>
      <c r="J74" s="16" t="str">
        <f t="shared" si="11"/>
        <v/>
      </c>
      <c r="K74" s="16" t="str">
        <f t="shared" si="12"/>
        <v/>
      </c>
      <c r="L74" s="16"/>
    </row>
    <row r="75" spans="1:12" ht="14.5" x14ac:dyDescent="0.35">
      <c r="A75" s="16"/>
      <c r="B75" s="16"/>
      <c r="C75" s="16"/>
      <c r="D75" s="16"/>
      <c r="E75" s="22" t="str">
        <f ca="1">IFERROR(__xludf.dummyfunction("iferror(1000+INT(($N$2-(index(split(D75,"":""),1)*60+index(split(D75,"":""),2 )))/0.2+1)*$N$3,"""")"),"")</f>
        <v/>
      </c>
      <c r="F75" s="16" t="str">
        <f t="shared" ca="1" si="9"/>
        <v/>
      </c>
      <c r="G75" s="16"/>
      <c r="H75" s="22" t="str">
        <f ca="1">IFERROR(__xludf.dummyfunction("iferror(1000+INT(($N$4-(index(split(G75,"":""),1)*60+index(split(G75,"":""),2 )))/0.2+1)*$N$5,"""")"),"")</f>
        <v/>
      </c>
      <c r="I75" s="16" t="str">
        <f t="shared" ca="1" si="10"/>
        <v/>
      </c>
      <c r="J75" s="16" t="str">
        <f t="shared" si="11"/>
        <v/>
      </c>
      <c r="K75" s="16" t="str">
        <f t="shared" si="12"/>
        <v/>
      </c>
      <c r="L75" s="16"/>
    </row>
    <row r="76" spans="1:12" ht="14.5" x14ac:dyDescent="0.35">
      <c r="A76" s="16"/>
      <c r="B76" s="16"/>
      <c r="C76" s="16"/>
      <c r="D76" s="16"/>
      <c r="E76" s="22" t="str">
        <f ca="1">IFERROR(__xludf.dummyfunction("iferror(1000+INT(($N$2-(index(split(D76,"":""),1)*60+index(split(D76,"":""),2 )))/0.2+1)*$N$3,"""")"),"")</f>
        <v/>
      </c>
      <c r="F76" s="16" t="str">
        <f t="shared" ca="1" si="9"/>
        <v/>
      </c>
      <c r="G76" s="16"/>
      <c r="H76" s="22" t="str">
        <f ca="1">IFERROR(__xludf.dummyfunction("iferror(1000+INT(($N$4-(index(split(G76,"":""),1)*60+index(split(G76,"":""),2 )))/0.2+1)*$N$5,"""")"),"")</f>
        <v/>
      </c>
      <c r="I76" s="16" t="str">
        <f t="shared" ca="1" si="10"/>
        <v/>
      </c>
      <c r="J76" s="16" t="str">
        <f t="shared" si="11"/>
        <v/>
      </c>
      <c r="K76" s="16" t="str">
        <f t="shared" si="12"/>
        <v/>
      </c>
      <c r="L76" s="16"/>
    </row>
    <row r="77" spans="1:12" ht="14.5" x14ac:dyDescent="0.35">
      <c r="A77" s="16"/>
      <c r="B77" s="16"/>
      <c r="C77" s="16"/>
      <c r="D77" s="16"/>
      <c r="E77" s="22" t="str">
        <f ca="1">IFERROR(__xludf.dummyfunction("iferror(1000+INT(($N$2-(index(split(D77,"":""),1)*60+index(split(D77,"":""),2 )))/0.2+1)*$N$3,"""")"),"")</f>
        <v/>
      </c>
      <c r="F77" s="16" t="str">
        <f t="shared" ca="1" si="9"/>
        <v/>
      </c>
      <c r="G77" s="16"/>
      <c r="H77" s="22" t="str">
        <f ca="1">IFERROR(__xludf.dummyfunction("iferror(1000+INT(($N$4-(index(split(G77,"":""),1)*60+index(split(G77,"":""),2 )))/0.2+1)*$N$5,"""")"),"")</f>
        <v/>
      </c>
      <c r="I77" s="16" t="str">
        <f t="shared" ca="1" si="10"/>
        <v/>
      </c>
      <c r="J77" s="16" t="str">
        <f t="shared" si="11"/>
        <v/>
      </c>
      <c r="K77" s="16" t="str">
        <f t="shared" si="12"/>
        <v/>
      </c>
      <c r="L77" s="16"/>
    </row>
    <row r="78" spans="1:12" ht="14.5" x14ac:dyDescent="0.35">
      <c r="A78" s="16"/>
      <c r="B78" s="16"/>
      <c r="C78" s="16"/>
      <c r="D78" s="16"/>
      <c r="E78" s="22" t="str">
        <f ca="1">IFERROR(__xludf.dummyfunction("iferror(1000+INT(($N$2-(index(split(D78,"":""),1)*60+index(split(D78,"":""),2 )))/0.2+1)*$N$3,"""")"),"")</f>
        <v/>
      </c>
      <c r="F78" s="16" t="str">
        <f t="shared" ca="1" si="9"/>
        <v/>
      </c>
      <c r="G78" s="16"/>
      <c r="H78" s="22" t="str">
        <f ca="1">IFERROR(__xludf.dummyfunction("iferror(1000+INT(($N$4-(index(split(G78,"":""),1)*60+index(split(G78,"":""),2 )))/0.2+1)*$N$5,"""")"),"")</f>
        <v/>
      </c>
      <c r="I78" s="16" t="str">
        <f t="shared" ca="1" si="10"/>
        <v/>
      </c>
      <c r="J78" s="16" t="str">
        <f t="shared" si="11"/>
        <v/>
      </c>
      <c r="K78" s="16" t="str">
        <f t="shared" si="12"/>
        <v/>
      </c>
      <c r="L78" s="16"/>
    </row>
    <row r="79" spans="1:12" ht="14.5" x14ac:dyDescent="0.35">
      <c r="A79" s="16"/>
      <c r="B79" s="16"/>
      <c r="C79" s="16"/>
      <c r="D79" s="16"/>
      <c r="E79" s="22" t="str">
        <f ca="1">IFERROR(__xludf.dummyfunction("iferror(1000+INT(($N$2-(index(split(D79,"":""),1)*60+index(split(D79,"":""),2 )))/0.2+1)*$N$3,"""")"),"")</f>
        <v/>
      </c>
      <c r="F79" s="16" t="str">
        <f t="shared" ca="1" si="9"/>
        <v/>
      </c>
      <c r="G79" s="16"/>
      <c r="H79" s="22" t="str">
        <f ca="1">IFERROR(__xludf.dummyfunction("iferror(1000+INT(($N$4-(index(split(G79,"":""),1)*60+index(split(G79,"":""),2 )))/0.2+1)*$N$5,"""")"),"")</f>
        <v/>
      </c>
      <c r="I79" s="16" t="str">
        <f t="shared" ca="1" si="10"/>
        <v/>
      </c>
      <c r="J79" s="16" t="str">
        <f t="shared" si="11"/>
        <v/>
      </c>
      <c r="K79" s="16" t="str">
        <f t="shared" si="12"/>
        <v/>
      </c>
      <c r="L79" s="16"/>
    </row>
    <row r="80" spans="1:12" ht="14.5" x14ac:dyDescent="0.35">
      <c r="A80" s="16"/>
      <c r="B80" s="16"/>
      <c r="C80" s="16"/>
      <c r="D80" s="16"/>
      <c r="E80" s="22" t="str">
        <f ca="1">IFERROR(__xludf.dummyfunction("iferror(1000+INT(($N$2-(index(split(D80,"":""),1)*60+index(split(D80,"":""),2 )))/0.2+1)*$N$3,"""")"),"")</f>
        <v/>
      </c>
      <c r="F80" s="16" t="str">
        <f t="shared" ca="1" si="9"/>
        <v/>
      </c>
      <c r="G80" s="16"/>
      <c r="H80" s="22" t="str">
        <f ca="1">IFERROR(__xludf.dummyfunction("iferror(1000+INT(($N$4-(index(split(G80,"":""),1)*60+index(split(G80,"":""),2 )))/0.2+1)*$N$5,"""")"),"")</f>
        <v/>
      </c>
      <c r="I80" s="16" t="str">
        <f t="shared" ca="1" si="10"/>
        <v/>
      </c>
      <c r="J80" s="16" t="str">
        <f t="shared" si="11"/>
        <v/>
      </c>
      <c r="K80" s="16" t="str">
        <f t="shared" si="12"/>
        <v/>
      </c>
      <c r="L80" s="16"/>
    </row>
    <row r="81" spans="1:12" ht="14.5" x14ac:dyDescent="0.35">
      <c r="A81" s="16"/>
      <c r="B81" s="16"/>
      <c r="C81" s="16"/>
      <c r="D81" s="16"/>
      <c r="E81" s="22" t="str">
        <f ca="1">IFERROR(__xludf.dummyfunction("iferror(1000+INT(($N$2-(index(split(D81,"":""),1)*60+index(split(D81,"":""),2 )))/0.2+1)*$N$3,"""")"),"")</f>
        <v/>
      </c>
      <c r="F81" s="16" t="str">
        <f t="shared" ca="1" si="9"/>
        <v/>
      </c>
      <c r="G81" s="16"/>
      <c r="H81" s="22" t="str">
        <f ca="1">IFERROR(__xludf.dummyfunction("iferror(1000+INT(($N$4-(index(split(G81,"":""),1)*60+index(split(G81,"":""),2 )))/0.2+1)*$N$5,"""")"),"")</f>
        <v/>
      </c>
      <c r="I81" s="16" t="str">
        <f t="shared" ca="1" si="10"/>
        <v/>
      </c>
      <c r="J81" s="16" t="str">
        <f t="shared" si="11"/>
        <v/>
      </c>
      <c r="K81" s="16" t="str">
        <f t="shared" si="12"/>
        <v/>
      </c>
      <c r="L81" s="16"/>
    </row>
    <row r="82" spans="1:12" ht="14.5" x14ac:dyDescent="0.35">
      <c r="A82" s="16"/>
      <c r="B82" s="16"/>
      <c r="C82" s="16"/>
      <c r="D82" s="16"/>
      <c r="E82" s="22" t="str">
        <f ca="1">IFERROR(__xludf.dummyfunction("iferror(1000+INT(($N$2-(index(split(D82,"":""),1)*60+index(split(D82,"":""),2 )))/0.2+1)*$N$3,"""")"),"")</f>
        <v/>
      </c>
      <c r="F82" s="16" t="str">
        <f t="shared" ca="1" si="9"/>
        <v/>
      </c>
      <c r="G82" s="16"/>
      <c r="H82" s="22" t="str">
        <f ca="1">IFERROR(__xludf.dummyfunction("iferror(1000+INT(($N$4-(index(split(G82,"":""),1)*60+index(split(G82,"":""),2 )))/0.2+1)*$N$5,"""")"),"")</f>
        <v/>
      </c>
      <c r="I82" s="16" t="str">
        <f t="shared" ca="1" si="10"/>
        <v/>
      </c>
      <c r="J82" s="16" t="str">
        <f t="shared" si="11"/>
        <v/>
      </c>
      <c r="K82" s="16" t="str">
        <f t="shared" si="12"/>
        <v/>
      </c>
      <c r="L82" s="16"/>
    </row>
    <row r="83" spans="1:12" ht="14.5" x14ac:dyDescent="0.35">
      <c r="A83" s="16"/>
      <c r="B83" s="16"/>
      <c r="C83" s="16"/>
      <c r="D83" s="16"/>
      <c r="E83" s="22" t="str">
        <f ca="1">IFERROR(__xludf.dummyfunction("iferror(1000+INT(($N$2-(index(split(D83,"":""),1)*60+index(split(D83,"":""),2 )))/0.2+1)*$N$3,"""")"),"")</f>
        <v/>
      </c>
      <c r="F83" s="16" t="str">
        <f t="shared" ca="1" si="9"/>
        <v/>
      </c>
      <c r="G83" s="16"/>
      <c r="H83" s="22" t="str">
        <f ca="1">IFERROR(__xludf.dummyfunction("iferror(1000+INT(($N$4-(index(split(G83,"":""),1)*60+index(split(G83,"":""),2 )))/0.2+1)*$N$5,"""")"),"")</f>
        <v/>
      </c>
      <c r="I83" s="16" t="str">
        <f t="shared" ca="1" si="10"/>
        <v/>
      </c>
      <c r="J83" s="16" t="str">
        <f t="shared" si="11"/>
        <v/>
      </c>
      <c r="K83" s="16" t="str">
        <f t="shared" si="12"/>
        <v/>
      </c>
      <c r="L83" s="16"/>
    </row>
    <row r="84" spans="1:12" ht="14.5" x14ac:dyDescent="0.35">
      <c r="A84" s="16"/>
      <c r="B84" s="16"/>
      <c r="C84" s="16"/>
      <c r="D84" s="16"/>
      <c r="E84" s="22" t="str">
        <f ca="1">IFERROR(__xludf.dummyfunction("iferror(1000+INT(($N$2-(index(split(D84,"":""),1)*60+index(split(D84,"":""),2 )))/0.2+1)*$N$3,"""")"),"")</f>
        <v/>
      </c>
      <c r="F84" s="16" t="str">
        <f t="shared" ca="1" si="9"/>
        <v/>
      </c>
      <c r="G84" s="16"/>
      <c r="H84" s="22" t="str">
        <f ca="1">IFERROR(__xludf.dummyfunction("iferror(1000+INT(($N$4-(index(split(G84,"":""),1)*60+index(split(G84,"":""),2 )))/0.2+1)*$N$5,"""")"),"")</f>
        <v/>
      </c>
      <c r="I84" s="16" t="str">
        <f t="shared" ca="1" si="10"/>
        <v/>
      </c>
      <c r="J84" s="16" t="str">
        <f t="shared" si="11"/>
        <v/>
      </c>
      <c r="K84" s="16" t="str">
        <f t="shared" si="12"/>
        <v/>
      </c>
      <c r="L84" s="16"/>
    </row>
    <row r="85" spans="1:12" ht="14.5" x14ac:dyDescent="0.35">
      <c r="A85" s="16"/>
      <c r="B85" s="16"/>
      <c r="C85" s="16"/>
      <c r="D85" s="16"/>
      <c r="E85" s="22" t="str">
        <f ca="1">IFERROR(__xludf.dummyfunction("iferror(1000+INT(($N$2-(index(split(D85,"":""),1)*60+index(split(D85,"":""),2 )))/0.2+1)*$N$3,"""")"),"")</f>
        <v/>
      </c>
      <c r="F85" s="16" t="str">
        <f t="shared" ca="1" si="9"/>
        <v/>
      </c>
      <c r="G85" s="16"/>
      <c r="H85" s="22" t="str">
        <f ca="1">IFERROR(__xludf.dummyfunction("iferror(1000+INT(($N$4-(index(split(G85,"":""),1)*60+index(split(G85,"":""),2 )))/0.2+1)*$N$5,"""")"),"")</f>
        <v/>
      </c>
      <c r="I85" s="16" t="str">
        <f t="shared" ca="1" si="10"/>
        <v/>
      </c>
      <c r="J85" s="16" t="str">
        <f t="shared" si="11"/>
        <v/>
      </c>
      <c r="K85" s="16" t="str">
        <f t="shared" si="12"/>
        <v/>
      </c>
      <c r="L85" s="16"/>
    </row>
    <row r="86" spans="1:12" ht="14.5" x14ac:dyDescent="0.35">
      <c r="A86" s="16"/>
      <c r="B86" s="16"/>
      <c r="C86" s="16"/>
      <c r="D86" s="16"/>
      <c r="E86" s="22" t="str">
        <f ca="1">IFERROR(__xludf.dummyfunction("iferror(1000+INT(($N$2-(index(split(D86,"":""),1)*60+index(split(D86,"":""),2 )))/0.2+1)*$N$3,"""")"),"")</f>
        <v/>
      </c>
      <c r="F86" s="16" t="str">
        <f t="shared" ca="1" si="9"/>
        <v/>
      </c>
      <c r="G86" s="16"/>
      <c r="H86" s="22" t="str">
        <f ca="1">IFERROR(__xludf.dummyfunction("iferror(1000+INT(($N$4-(index(split(G86,"":""),1)*60+index(split(G86,"":""),2 )))/0.2+1)*$N$5,"""")"),"")</f>
        <v/>
      </c>
      <c r="I86" s="16" t="str">
        <f t="shared" ca="1" si="10"/>
        <v/>
      </c>
      <c r="J86" s="16" t="str">
        <f t="shared" si="11"/>
        <v/>
      </c>
      <c r="K86" s="16" t="str">
        <f t="shared" si="12"/>
        <v/>
      </c>
      <c r="L86" s="16"/>
    </row>
    <row r="87" spans="1:12" ht="14.5" x14ac:dyDescent="0.35">
      <c r="A87" s="16"/>
      <c r="B87" s="16"/>
      <c r="C87" s="16"/>
      <c r="D87" s="16"/>
      <c r="E87" s="22" t="str">
        <f ca="1">IFERROR(__xludf.dummyfunction("iferror(1000+INT(($N$2-(index(split(D87,"":""),1)*60+index(split(D87,"":""),2 )))/0.2+1)*$N$3,"""")"),"")</f>
        <v/>
      </c>
      <c r="F87" s="16" t="str">
        <f t="shared" ca="1" si="9"/>
        <v/>
      </c>
      <c r="G87" s="16"/>
      <c r="H87" s="22" t="str">
        <f ca="1">IFERROR(__xludf.dummyfunction("iferror(1000+INT(($N$4-(index(split(G87,"":""),1)*60+index(split(G87,"":""),2 )))/0.2+1)*$N$5,"""")"),"")</f>
        <v/>
      </c>
      <c r="I87" s="16" t="str">
        <f t="shared" ca="1" si="10"/>
        <v/>
      </c>
      <c r="J87" s="16" t="str">
        <f t="shared" si="11"/>
        <v/>
      </c>
      <c r="K87" s="16" t="str">
        <f t="shared" si="12"/>
        <v/>
      </c>
      <c r="L87" s="16"/>
    </row>
    <row r="88" spans="1:12" ht="14.5" x14ac:dyDescent="0.35">
      <c r="A88" s="16"/>
      <c r="B88" s="16"/>
      <c r="C88" s="16"/>
      <c r="D88" s="16"/>
      <c r="E88" s="22" t="str">
        <f ca="1">IFERROR(__xludf.dummyfunction("iferror(1000+INT(($N$2-(index(split(D88,"":""),1)*60+index(split(D88,"":""),2 )))/0.2+1)*$N$3,"""")"),"")</f>
        <v/>
      </c>
      <c r="F88" s="16" t="str">
        <f t="shared" ca="1" si="9"/>
        <v/>
      </c>
      <c r="G88" s="16"/>
      <c r="H88" s="22" t="str">
        <f ca="1">IFERROR(__xludf.dummyfunction("iferror(1000+INT(($N$4-(index(split(G88,"":""),1)*60+index(split(G88,"":""),2 )))/0.2+1)*$N$5,"""")"),"")</f>
        <v/>
      </c>
      <c r="I88" s="16" t="str">
        <f t="shared" ca="1" si="10"/>
        <v/>
      </c>
      <c r="J88" s="16" t="str">
        <f t="shared" si="11"/>
        <v/>
      </c>
      <c r="K88" s="16" t="str">
        <f t="shared" si="12"/>
        <v/>
      </c>
      <c r="L88" s="16"/>
    </row>
    <row r="89" spans="1:12" ht="14.5" x14ac:dyDescent="0.35">
      <c r="A89" s="16"/>
      <c r="B89" s="16"/>
      <c r="C89" s="16"/>
      <c r="D89" s="16"/>
      <c r="E89" s="22" t="str">
        <f ca="1">IFERROR(__xludf.dummyfunction("iferror(1000+INT(($N$2-(index(split(D89,"":""),1)*60+index(split(D89,"":""),2 )))/0.2+1)*$N$3,"""")"),"")</f>
        <v/>
      </c>
      <c r="F89" s="16" t="str">
        <f t="shared" ca="1" si="9"/>
        <v/>
      </c>
      <c r="G89" s="16"/>
      <c r="H89" s="22" t="str">
        <f ca="1">IFERROR(__xludf.dummyfunction("iferror(1000+INT(($N$4-(index(split(G89,"":""),1)*60+index(split(G89,"":""),2 )))/0.2+1)*$N$5,"""")"),"")</f>
        <v/>
      </c>
      <c r="I89" s="16" t="str">
        <f t="shared" ca="1" si="10"/>
        <v/>
      </c>
      <c r="J89" s="16" t="str">
        <f t="shared" si="11"/>
        <v/>
      </c>
      <c r="K89" s="16" t="str">
        <f t="shared" si="12"/>
        <v/>
      </c>
      <c r="L89" s="16"/>
    </row>
    <row r="90" spans="1:12" ht="14.5" x14ac:dyDescent="0.35">
      <c r="A90" s="16"/>
      <c r="B90" s="16"/>
      <c r="C90" s="16"/>
      <c r="D90" s="16"/>
      <c r="E90" s="22" t="str">
        <f ca="1">IFERROR(__xludf.dummyfunction("iferror(1000+INT(($N$2-(index(split(D90,"":""),1)*60+index(split(D90,"":""),2 )))/0.2+1)*$N$3,"""")"),"")</f>
        <v/>
      </c>
      <c r="F90" s="16" t="str">
        <f t="shared" ca="1" si="9"/>
        <v/>
      </c>
      <c r="G90" s="16"/>
      <c r="H90" s="22" t="str">
        <f ca="1">IFERROR(__xludf.dummyfunction("iferror(1000+INT(($N$4-(index(split(G90,"":""),1)*60+index(split(G90,"":""),2 )))/0.2+1)*$N$5,"""")"),"")</f>
        <v/>
      </c>
      <c r="I90" s="16" t="str">
        <f t="shared" ca="1" si="10"/>
        <v/>
      </c>
      <c r="J90" s="16" t="str">
        <f t="shared" si="11"/>
        <v/>
      </c>
      <c r="K90" s="16" t="str">
        <f t="shared" si="12"/>
        <v/>
      </c>
      <c r="L90" s="16"/>
    </row>
    <row r="91" spans="1:12" ht="14.5" x14ac:dyDescent="0.35">
      <c r="A91" s="16"/>
      <c r="B91" s="16"/>
      <c r="C91" s="16"/>
      <c r="D91" s="16"/>
      <c r="E91" s="22" t="str">
        <f ca="1">IFERROR(__xludf.dummyfunction("iferror(1000+INT(($N$2-(index(split(D91,"":""),1)*60+index(split(D91,"":""),2 )))/0.2+1)*$N$3,"""")"),"")</f>
        <v/>
      </c>
      <c r="F91" s="16" t="str">
        <f t="shared" ca="1" si="9"/>
        <v/>
      </c>
      <c r="G91" s="16"/>
      <c r="H91" s="22" t="str">
        <f ca="1">IFERROR(__xludf.dummyfunction("iferror(1000+INT(($N$4-(index(split(G91,"":""),1)*60+index(split(G91,"":""),2 )))/0.2+1)*$N$5,"""")"),"")</f>
        <v/>
      </c>
      <c r="I91" s="16" t="str">
        <f t="shared" ca="1" si="10"/>
        <v/>
      </c>
      <c r="J91" s="16" t="str">
        <f t="shared" si="11"/>
        <v/>
      </c>
      <c r="K91" s="16" t="str">
        <f t="shared" si="12"/>
        <v/>
      </c>
      <c r="L91" s="16"/>
    </row>
    <row r="92" spans="1:12" ht="14.5" x14ac:dyDescent="0.35">
      <c r="A92" s="16"/>
      <c r="B92" s="16"/>
      <c r="C92" s="16"/>
      <c r="D92" s="16"/>
      <c r="E92" s="22" t="str">
        <f ca="1">IFERROR(__xludf.dummyfunction("iferror(1000+INT(($N$2-(index(split(D92,"":""),1)*60+index(split(D92,"":""),2 )))/0.2+1)*$N$3,"""")"),"")</f>
        <v/>
      </c>
      <c r="F92" s="16" t="str">
        <f t="shared" ca="1" si="9"/>
        <v/>
      </c>
      <c r="G92" s="16"/>
      <c r="H92" s="22" t="str">
        <f ca="1">IFERROR(__xludf.dummyfunction("iferror(1000+INT(($N$4-(index(split(G92,"":""),1)*60+index(split(G92,"":""),2 )))/0.2+1)*$N$5,"""")"),"")</f>
        <v/>
      </c>
      <c r="I92" s="16" t="str">
        <f t="shared" ca="1" si="10"/>
        <v/>
      </c>
      <c r="J92" s="16" t="str">
        <f t="shared" si="11"/>
        <v/>
      </c>
      <c r="K92" s="16" t="str">
        <f t="shared" si="12"/>
        <v/>
      </c>
      <c r="L92" s="16"/>
    </row>
    <row r="93" spans="1:12" ht="14.5" x14ac:dyDescent="0.35">
      <c r="A93" s="16"/>
      <c r="B93" s="16"/>
      <c r="C93" s="16"/>
      <c r="D93" s="16"/>
      <c r="E93" s="22" t="str">
        <f ca="1">IFERROR(__xludf.dummyfunction("iferror(1000+INT(($N$2-(index(split(D93,"":""),1)*60+index(split(D93,"":""),2 )))/0.2+1)*$N$3,"""")"),"")</f>
        <v/>
      </c>
      <c r="F93" s="16" t="str">
        <f t="shared" ca="1" si="9"/>
        <v/>
      </c>
      <c r="G93" s="16"/>
      <c r="H93" s="22" t="str">
        <f ca="1">IFERROR(__xludf.dummyfunction("iferror(1000+INT(($N$4-(index(split(G93,"":""),1)*60+index(split(G93,"":""),2 )))/0.2+1)*$N$5,"""")"),"")</f>
        <v/>
      </c>
      <c r="I93" s="16" t="str">
        <f t="shared" ca="1" si="10"/>
        <v/>
      </c>
      <c r="J93" s="16" t="str">
        <f t="shared" si="11"/>
        <v/>
      </c>
      <c r="K93" s="16" t="str">
        <f t="shared" si="12"/>
        <v/>
      </c>
      <c r="L93" s="16"/>
    </row>
    <row r="94" spans="1:12" ht="14.5" x14ac:dyDescent="0.35">
      <c r="A94" s="16"/>
      <c r="B94" s="16"/>
      <c r="C94" s="16"/>
      <c r="D94" s="16"/>
      <c r="E94" s="22" t="str">
        <f ca="1">IFERROR(__xludf.dummyfunction("iferror(1000+INT(($N$2-(index(split(D94,"":""),1)*60+index(split(D94,"":""),2 )))/0.2+1)*$N$3,"""")"),"")</f>
        <v/>
      </c>
      <c r="F94" s="16" t="str">
        <f t="shared" ca="1" si="9"/>
        <v/>
      </c>
      <c r="G94" s="16"/>
      <c r="H94" s="22" t="str">
        <f ca="1">IFERROR(__xludf.dummyfunction("iferror(1000+INT(($N$4-(index(split(G94,"":""),1)*60+index(split(G94,"":""),2 )))/0.2+1)*$N$5,"""")"),"")</f>
        <v/>
      </c>
      <c r="I94" s="16" t="str">
        <f t="shared" ca="1" si="10"/>
        <v/>
      </c>
      <c r="J94" s="16" t="str">
        <f t="shared" si="11"/>
        <v/>
      </c>
      <c r="K94" s="16" t="str">
        <f t="shared" si="12"/>
        <v/>
      </c>
      <c r="L94" s="16"/>
    </row>
    <row r="95" spans="1:12" ht="14.5" x14ac:dyDescent="0.35">
      <c r="A95" s="16"/>
      <c r="B95" s="16"/>
      <c r="C95" s="16"/>
      <c r="D95" s="16"/>
      <c r="E95" s="22" t="str">
        <f ca="1">IFERROR(__xludf.dummyfunction("iferror(1000+INT(($N$2-(index(split(D95,"":""),1)*60+index(split(D95,"":""),2 )))/0.2+1)*$N$3,"""")"),"")</f>
        <v/>
      </c>
      <c r="F95" s="16" t="str">
        <f t="shared" ca="1" si="9"/>
        <v/>
      </c>
      <c r="G95" s="16"/>
      <c r="H95" s="22" t="str">
        <f ca="1">IFERROR(__xludf.dummyfunction("iferror(1000+INT(($N$4-(index(split(G95,"":""),1)*60+index(split(G95,"":""),2 )))/0.2+1)*$N$5,"""")"),"")</f>
        <v/>
      </c>
      <c r="I95" s="16" t="str">
        <f t="shared" ca="1" si="10"/>
        <v/>
      </c>
      <c r="J95" s="16" t="str">
        <f t="shared" si="11"/>
        <v/>
      </c>
      <c r="K95" s="16" t="str">
        <f t="shared" si="12"/>
        <v/>
      </c>
      <c r="L95" s="16"/>
    </row>
    <row r="96" spans="1:12" ht="14.5" x14ac:dyDescent="0.35">
      <c r="A96" s="16"/>
      <c r="B96" s="16"/>
      <c r="C96" s="16"/>
      <c r="D96" s="16"/>
      <c r="E96" s="22" t="str">
        <f ca="1">IFERROR(__xludf.dummyfunction("iferror(1000+INT(($N$2-(index(split(D96,"":""),1)*60+index(split(D96,"":""),2 )))/0.2+1)*$N$3,"""")"),"")</f>
        <v/>
      </c>
      <c r="F96" s="16" t="str">
        <f t="shared" ca="1" si="9"/>
        <v/>
      </c>
      <c r="G96" s="16"/>
      <c r="H96" s="22" t="str">
        <f ca="1">IFERROR(__xludf.dummyfunction("iferror(1000+INT(($N$4-(index(split(G96,"":""),1)*60+index(split(G96,"":""),2 )))/0.2+1)*$N$5,"""")"),"")</f>
        <v/>
      </c>
      <c r="I96" s="16" t="str">
        <f t="shared" ca="1" si="10"/>
        <v/>
      </c>
      <c r="J96" s="16" t="str">
        <f t="shared" si="11"/>
        <v/>
      </c>
      <c r="K96" s="16" t="str">
        <f t="shared" si="12"/>
        <v/>
      </c>
      <c r="L96" s="16"/>
    </row>
    <row r="97" spans="1:12" ht="14.5" x14ac:dyDescent="0.35">
      <c r="A97" s="16"/>
      <c r="B97" s="16"/>
      <c r="C97" s="16"/>
      <c r="D97" s="16"/>
      <c r="E97" s="22" t="str">
        <f ca="1">IFERROR(__xludf.dummyfunction("iferror(1000+INT(($N$2-(index(split(D97,"":""),1)*60+index(split(D97,"":""),2 )))/0.2+1)*$N$3,"""")"),"")</f>
        <v/>
      </c>
      <c r="F97" s="16" t="str">
        <f t="shared" ca="1" si="9"/>
        <v/>
      </c>
      <c r="G97" s="16"/>
      <c r="H97" s="22" t="str">
        <f ca="1">IFERROR(__xludf.dummyfunction("iferror(1000+INT(($N$4-(index(split(G97,"":""),1)*60+index(split(G97,"":""),2 )))/0.2+1)*$N$5,"""")"),"")</f>
        <v/>
      </c>
      <c r="I97" s="16" t="str">
        <f t="shared" ca="1" si="10"/>
        <v/>
      </c>
      <c r="J97" s="16" t="str">
        <f t="shared" si="11"/>
        <v/>
      </c>
      <c r="K97" s="16" t="str">
        <f t="shared" si="12"/>
        <v/>
      </c>
      <c r="L97" s="16"/>
    </row>
    <row r="98" spans="1:12" ht="14.5" x14ac:dyDescent="0.35">
      <c r="A98" s="16"/>
      <c r="B98" s="16"/>
      <c r="C98" s="16"/>
      <c r="D98" s="16"/>
      <c r="E98" s="22" t="str">
        <f ca="1">IFERROR(__xludf.dummyfunction("iferror(1000+INT(($N$2-(index(split(D98,"":""),1)*60+index(split(D98,"":""),2 )))/0.2+1)*$N$3,"""")"),"")</f>
        <v/>
      </c>
      <c r="F98" s="16" t="str">
        <f t="shared" ref="F98:F129" ca="1" si="13">IFERROR(_xlfn.RANK.EQ(E98,E:E),"")</f>
        <v/>
      </c>
      <c r="G98" s="16"/>
      <c r="H98" s="22" t="str">
        <f ca="1">IFERROR(__xludf.dummyfunction("iferror(1000+INT(($N$4-(index(split(G98,"":""),1)*60+index(split(G98,"":""),2 )))/0.2+1)*$N$5,"""")"),"")</f>
        <v/>
      </c>
      <c r="I98" s="16" t="str">
        <f t="shared" ref="I98:I129" ca="1" si="14">IFERROR(_xlfn.RANK.EQ(H98,H:H),"")</f>
        <v/>
      </c>
      <c r="J98" s="16" t="str">
        <f t="shared" si="11"/>
        <v/>
      </c>
      <c r="K98" s="16" t="str">
        <f t="shared" ref="K98:K129" si="15">IFERROR(_xlfn.RANK.EQ(J98,J:J),"")</f>
        <v/>
      </c>
      <c r="L98" s="16"/>
    </row>
    <row r="99" spans="1:12" ht="14.5" x14ac:dyDescent="0.35">
      <c r="A99" s="16"/>
      <c r="B99" s="16"/>
      <c r="C99" s="16"/>
      <c r="D99" s="16"/>
      <c r="E99" s="22" t="str">
        <f ca="1">IFERROR(__xludf.dummyfunction("iferror(1000+INT(($N$2-(index(split(D99,"":""),1)*60+index(split(D99,"":""),2 )))/0.2+1)*$N$3,"""")"),"")</f>
        <v/>
      </c>
      <c r="F99" s="16" t="str">
        <f t="shared" ca="1" si="13"/>
        <v/>
      </c>
      <c r="G99" s="16"/>
      <c r="H99" s="22" t="str">
        <f ca="1">IFERROR(__xludf.dummyfunction("iferror(1000+INT(($N$4-(index(split(G99,"":""),1)*60+index(split(G99,"":""),2 )))/0.2+1)*$N$5,"""")"),"")</f>
        <v/>
      </c>
      <c r="I99" s="16" t="str">
        <f t="shared" ca="1" si="14"/>
        <v/>
      </c>
      <c r="J99" s="16" t="str">
        <f t="shared" si="11"/>
        <v/>
      </c>
      <c r="K99" s="16" t="str">
        <f t="shared" si="15"/>
        <v/>
      </c>
      <c r="L99" s="16"/>
    </row>
    <row r="100" spans="1:12" ht="14.5" x14ac:dyDescent="0.35">
      <c r="A100" s="16"/>
      <c r="B100" s="16"/>
      <c r="C100" s="16"/>
      <c r="D100" s="16"/>
      <c r="E100" s="22" t="str">
        <f ca="1">IFERROR(__xludf.dummyfunction("iferror(1000+INT(($N$2-(index(split(D100,"":""),1)*60+index(split(D100,"":""),2 )))/0.2+1)*$N$3,"""")"),"")</f>
        <v/>
      </c>
      <c r="F100" s="16" t="str">
        <f t="shared" ca="1" si="13"/>
        <v/>
      </c>
      <c r="G100" s="16"/>
      <c r="H100" s="22" t="str">
        <f ca="1">IFERROR(__xludf.dummyfunction("iferror(1000+INT(($N$4-(index(split(G100,"":""),1)*60+index(split(G100,"":""),2 )))/0.2+1)*$N$5,"""")"),"")</f>
        <v/>
      </c>
      <c r="I100" s="16" t="str">
        <f t="shared" ca="1" si="14"/>
        <v/>
      </c>
      <c r="J100" s="16" t="str">
        <f t="shared" si="11"/>
        <v/>
      </c>
      <c r="K100" s="16" t="str">
        <f t="shared" si="15"/>
        <v/>
      </c>
      <c r="L100" s="16"/>
    </row>
    <row r="101" spans="1:12" ht="14.5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4.5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4.5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4.5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4.5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4.5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4.5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4.5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4.5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4.5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4.5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4.5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4.5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4.5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4.5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4.5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4.5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4.5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4.5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4.5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4.5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4.5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4.5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4.5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4.5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4.5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4.5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4.5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4.5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4.5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4.5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4.5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4.5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4.5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4.5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4.5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4.5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4.5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4.5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4.5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4.5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4.5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4.5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4.5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4.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4.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4.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4.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4.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4.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4.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4.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4.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4.5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4.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4.5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4.5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4.5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4.5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4.5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4.5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4.5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ht="14.5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4.5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ht="14.5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ht="14.5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4.5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4.5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5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4.5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4.5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4.5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4.5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4.5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4.5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4.5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4.5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4.5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4.5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4.5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4.5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4.5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4.5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4.5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4.5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4.5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4.5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4.5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4.5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4.5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4.5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4.5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4.5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4.5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4.5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4.5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4.5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4.5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4.5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4.5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4.5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4.5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4.5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4.5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4.5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4.5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4.5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4.5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4.5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4.5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4.5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4.5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4.5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4.5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4.5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4.5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4.5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4.5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4.5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4.5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4.5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4.5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4.5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4.5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4.5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4.5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4.5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4.5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4.5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4.5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4.5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4.5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4.5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5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4.5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4.5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4.5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4.5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4.5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4.5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4.5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4.5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4.5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4.5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4.5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4.5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4.5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4.5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4.5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4.5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4.5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4.5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4.5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4.5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4.5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4.5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4.5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4.5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4.5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4.5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4.5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4.5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4.5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4.5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4.5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4.5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4.5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4.5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4.5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4.5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4.5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4.5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4.5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4.5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4.5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4.5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4.5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4.5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4.5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4.5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4.5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4.5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4.5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4.5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4.5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4.5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4.5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4.5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4.5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4.5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4.5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4.5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4.5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4.5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4.5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4.5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4.5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4.5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4.5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4.5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4.5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4.5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4.5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4.5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4.5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4.5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4.5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4.5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4.5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4.5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4.5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4.5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4.5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4.5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4.5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4.5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4.5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4.5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4.5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4.5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4.5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4.5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4.5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4.5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4.5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4.5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4.5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4.5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4.5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4.5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4.5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4.5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4.5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4.5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4.5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4.5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4.5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4.5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4.5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4.5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4.5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4.5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4.5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4.5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4.5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4.5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4.5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4.5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4.5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4.5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4.5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4.5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4.5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4.5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4.5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4.5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4.5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4.5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4.5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4.5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4.5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4.5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4.5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4.5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4.5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4.5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4.5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4.5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4.5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4.5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4.5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4.5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4.5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4.5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4.5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4.5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4.5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4.5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4.5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ht="14.5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ht="14.5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ht="14.5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ht="14.5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ht="14.5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ht="14.5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ht="14.5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ht="14.5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ht="14.5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ht="14.5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ht="14.5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ht="14.5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ht="14.5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ht="14.5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ht="14.5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ht="14.5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ht="14.5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ht="14.5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ht="14.5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ht="14.5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ht="14.5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ht="14.5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ht="14.5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ht="14.5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ht="14.5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ht="14.5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ht="14.5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ht="14.5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ht="14.5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ht="14.5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ht="14.5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ht="14.5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ht="14.5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ht="14.5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ht="14.5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ht="14.5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ht="14.5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ht="14.5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ht="14.5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ht="14.5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ht="14.5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ht="14.5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ht="14.5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ht="14.5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ht="14.5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ht="14.5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ht="14.5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ht="14.5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ht="14.5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ht="14.5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ht="14.5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ht="14.5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ht="14.5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ht="14.5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ht="14.5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ht="14.5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ht="14.5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ht="14.5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 ht="14.5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 ht="14.5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 ht="14.5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 ht="14.5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 ht="14.5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 ht="14.5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 ht="14.5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 ht="14.5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 ht="14.5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 ht="14.5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 ht="14.5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 ht="14.5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 ht="14.5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 ht="14.5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 ht="14.5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 ht="14.5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 ht="14.5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 ht="14.5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 ht="14.5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 ht="14.5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 ht="14.5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 ht="14.5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 ht="14.5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 ht="14.5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 ht="14.5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 ht="14.5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 ht="14.5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 ht="14.5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 ht="14.5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 ht="14.5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 ht="14.5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 ht="14.5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 ht="14.5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 ht="14.5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 ht="14.5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 ht="14.5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 ht="14.5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 ht="14.5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 ht="14.5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 ht="14.5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 ht="14.5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 ht="14.5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 ht="14.5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 ht="14.5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 ht="14.5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 ht="14.5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 ht="14.5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 ht="14.5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 ht="14.5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 ht="14.5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 ht="14.5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 ht="14.5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 ht="14.5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 ht="14.5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 ht="14.5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 ht="14.5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 ht="14.5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 ht="14.5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 ht="14.5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 ht="14.5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 ht="14.5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 ht="14.5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 ht="14.5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 ht="14.5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 ht="14.5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 ht="14.5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 ht="14.5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 ht="14.5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 ht="14.5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 ht="14.5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 ht="14.5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 ht="14.5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 ht="14.5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 ht="14.5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 ht="14.5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 ht="14.5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 ht="14.5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 ht="14.5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 ht="14.5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 ht="14.5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 ht="14.5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 ht="14.5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 ht="14.5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ht="14.5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ht="14.5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ht="14.5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ht="14.5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ht="14.5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ht="14.5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ht="14.5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ht="14.5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 ht="14.5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 ht="14.5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 ht="14.5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 ht="14.5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 ht="14.5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 ht="14.5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 ht="14.5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 ht="14.5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 ht="14.5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 ht="14.5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 ht="14.5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 ht="14.5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 ht="14.5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 ht="14.5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 ht="14.5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 ht="14.5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 ht="14.5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 ht="14.5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 ht="14.5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 ht="14.5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 ht="14.5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 ht="14.5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 ht="14.5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 ht="14.5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 ht="14.5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 ht="14.5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 ht="14.5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 ht="14.5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 ht="14.5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 ht="14.5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 ht="14.5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 ht="14.5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 ht="14.5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 ht="14.5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 ht="14.5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 ht="14.5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 ht="14.5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 ht="14.5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 ht="14.5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 ht="14.5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 ht="14.5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 ht="14.5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 ht="14.5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 ht="14.5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 ht="14.5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 ht="14.5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 ht="14.5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 ht="14.5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 ht="14.5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 ht="14.5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 ht="14.5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 ht="14.5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 ht="14.5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 ht="14.5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 ht="14.5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 ht="14.5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 ht="14.5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 ht="14.5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 ht="14.5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 ht="14.5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 ht="14.5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 ht="14.5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 ht="14.5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 ht="14.5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 ht="14.5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 ht="14.5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 ht="14.5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 ht="14.5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 ht="14.5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 ht="14.5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 ht="14.5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 ht="14.5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 ht="14.5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 ht="14.5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 ht="14.5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 ht="14.5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 ht="14.5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 ht="14.5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 ht="14.5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 ht="14.5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 ht="14.5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 ht="14.5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 ht="14.5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 ht="14.5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 ht="14.5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 ht="14.5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 ht="14.5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 ht="14.5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 ht="14.5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 ht="14.5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 ht="14.5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 ht="14.5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 ht="14.5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 ht="14.5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 ht="14.5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 ht="14.5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 ht="14.5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 ht="14.5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 ht="14.5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 ht="14.5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 ht="14.5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 ht="14.5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 ht="14.5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 ht="14.5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 ht="14.5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 ht="14.5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 ht="14.5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 ht="14.5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 ht="14.5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 ht="14.5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 ht="14.5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 ht="14.5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 ht="14.5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 ht="14.5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 ht="14.5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 ht="14.5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 ht="14.5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 ht="14.5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 ht="14.5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 ht="14.5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 ht="14.5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 ht="14.5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 ht="14.5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 ht="14.5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 ht="14.5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 ht="14.5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 ht="14.5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 ht="14.5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 ht="14.5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 ht="14.5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 ht="14.5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 ht="14.5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 ht="14.5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 ht="14.5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 ht="14.5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 ht="14.5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 ht="14.5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 ht="14.5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 ht="14.5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 ht="14.5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 ht="14.5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 ht="14.5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 ht="14.5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 ht="14.5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 ht="14.5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 ht="14.5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 ht="14.5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 ht="14.5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 ht="14.5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 ht="14.5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 ht="14.5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 ht="14.5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 ht="14.5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 ht="14.5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 ht="14.5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 ht="14.5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 ht="14.5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 ht="14.5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 ht="14.5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 ht="14.5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 ht="14.5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 ht="14.5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 ht="14.5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 ht="14.5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 ht="14.5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 ht="14.5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 ht="14.5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 ht="14.5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 ht="14.5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 ht="14.5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 ht="14.5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 ht="14.5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 ht="14.5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 ht="14.5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 ht="14.5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 ht="14.5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 ht="14.5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 ht="14.5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 ht="14.5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 ht="14.5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 ht="14.5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 ht="14.5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 ht="14.5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 ht="14.5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 ht="14.5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 ht="14.5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 ht="14.5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 ht="14.5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 ht="14.5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 ht="14.5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 ht="14.5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 ht="14.5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 ht="14.5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 ht="14.5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 ht="14.5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 ht="14.5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 ht="14.5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 ht="14.5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 ht="14.5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 ht="14.5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 ht="14.5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 ht="14.5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 ht="14.5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 ht="14.5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 ht="14.5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 ht="14.5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 ht="14.5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 ht="14.5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 ht="14.5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 ht="14.5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 ht="14.5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 ht="14.5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 ht="14.5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 ht="14.5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 ht="14.5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 ht="14.5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 ht="14.5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 ht="14.5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 ht="14.5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 ht="14.5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 ht="14.5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 ht="14.5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 ht="14.5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 ht="14.5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 ht="14.5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 ht="14.5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 ht="14.5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 ht="14.5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 ht="14.5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 ht="14.5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 ht="14.5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 ht="14.5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 ht="14.5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 ht="14.5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 ht="14.5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 ht="14.5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 ht="14.5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 ht="14.5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 ht="14.5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 ht="14.5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 ht="14.5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 ht="14.5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 ht="14.5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 ht="14.5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 ht="14.5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 ht="14.5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 ht="14.5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 ht="14.5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 ht="14.5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 ht="14.5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 ht="14.5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 ht="14.5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 ht="14.5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 ht="14.5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 ht="14.5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 ht="14.5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 ht="14.5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 ht="14.5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 ht="14.5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 ht="14.5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 ht="14.5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 ht="14.5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 ht="14.5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 ht="14.5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 ht="14.5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 ht="14.5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 ht="14.5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 ht="14.5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 ht="14.5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 ht="14.5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 ht="14.5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 ht="14.5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 ht="14.5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 ht="14.5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 ht="14.5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 ht="14.5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 ht="14.5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 ht="14.5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 ht="14.5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 ht="14.5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 ht="14.5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 ht="14.5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 ht="14.5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 ht="14.5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 ht="14.5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 ht="14.5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 ht="14.5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 ht="14.5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 ht="14.5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 ht="14.5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 ht="14.5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 ht="14.5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 ht="14.5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 ht="14.5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 ht="14.5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 ht="14.5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 ht="14.5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 ht="14.5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 ht="14.5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 ht="14.5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 ht="14.5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 ht="14.5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 ht="14.5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 ht="14.5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 ht="14.5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 ht="14.5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 ht="14.5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 ht="14.5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 ht="14.5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 ht="14.5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 ht="14.5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 ht="14.5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 ht="14.5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 ht="14.5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 ht="14.5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 ht="14.5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 ht="14.5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 ht="14.5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 ht="14.5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 ht="14.5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 ht="14.5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 ht="14.5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 ht="14.5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 ht="14.5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 ht="14.5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 ht="14.5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 ht="14.5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 ht="14.5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 ht="14.5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 ht="14.5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 ht="14.5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 ht="14.5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 ht="14.5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 ht="14.5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 ht="14.5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 ht="14.5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 ht="14.5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 ht="14.5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 ht="14.5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 ht="14.5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 ht="14.5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 ht="14.5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 ht="14.5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 ht="14.5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 ht="14.5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 ht="14.5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 ht="14.5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 ht="14.5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 ht="14.5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 ht="14.5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 ht="14.5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 ht="14.5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 ht="14.5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 ht="14.5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 ht="14.5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 ht="14.5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 ht="14.5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 ht="14.5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 ht="14.5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 ht="14.5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 ht="14.5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 ht="14.5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 ht="14.5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 ht="14.5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 ht="14.5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 ht="14.5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 ht="14.5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 ht="14.5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 ht="14.5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 ht="14.5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 ht="14.5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 ht="14.5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 ht="14.5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 ht="14.5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 ht="14.5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 ht="14.5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 ht="14.5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 ht="14.5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 ht="14.5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 ht="14.5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 ht="14.5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 ht="14.5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 ht="14.5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 ht="14.5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 ht="14.5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 ht="14.5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 ht="14.5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 ht="14.5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 ht="14.5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 ht="14.5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 ht="14.5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 ht="14.5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 ht="14.5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 ht="14.5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 ht="14.5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 ht="14.5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 ht="14.5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</sheetData>
  <sortState xmlns:xlrd2="http://schemas.microsoft.com/office/spreadsheetml/2017/richdata2" ref="A2:L7">
    <sortCondition ref="K2:K7"/>
  </sortState>
  <printOptions horizontalCentered="1" gridLines="1"/>
  <pageMargins left="0.7" right="0.7" top="1.1437499999999998" bottom="1.1437499999999998" header="0.75" footer="0.75"/>
  <pageSetup paperSize="0" fitToWidth="0" fitToHeight="0" pageOrder="overThenDown" orientation="landscape" horizontalDpi="0" verticalDpi="0" copies="0"/>
  <headerFooter alignWithMargins="0"/>
  <ignoredErrors>
    <ignoredError sqref="J2:J2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'Scoring tables'!$A$2:$A$57</xm:f>
          </x14:formula1>
          <xm:sqref>L1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workbookViewId="0">
      <selection activeCell="A18" sqref="A18:K18"/>
    </sheetView>
  </sheetViews>
  <sheetFormatPr defaultRowHeight="15.75" customHeight="1" x14ac:dyDescent="0.35"/>
  <cols>
    <col min="1" max="1" width="10.4140625" style="25" customWidth="1"/>
    <col min="2" max="2" width="23.58203125" style="25" customWidth="1"/>
    <col min="3" max="3" width="22.4140625" style="25" customWidth="1"/>
    <col min="4" max="11" width="8.4140625" style="25" customWidth="1"/>
    <col min="12" max="1024" width="11.6640625" style="25" customWidth="1"/>
    <col min="1025" max="16384" width="8.6640625" style="25"/>
  </cols>
  <sheetData>
    <row r="1" spans="1:14" ht="30.75" customHeight="1" x14ac:dyDescent="0.35">
      <c r="A1" s="20" t="s">
        <v>0</v>
      </c>
      <c r="B1" s="20" t="s">
        <v>26</v>
      </c>
      <c r="C1" s="20" t="s">
        <v>27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11</v>
      </c>
    </row>
    <row r="2" spans="1:14" ht="14.5" x14ac:dyDescent="0.35">
      <c r="A2" s="16">
        <f ca="1">IFERROR(__xludf.dummyfunction("""COMPUTED_VALUE"""),63)</f>
        <v>63</v>
      </c>
      <c r="B2" s="5" t="str">
        <f ca="1">IFERROR(__xludf.dummyfunction("""COMPUTED_VALUE"""),"Thomas Ramsden")</f>
        <v>Thomas Ramsden</v>
      </c>
      <c r="C2" s="5" t="str">
        <f ca="1">IFERROR(__xludf.dummyfunction("""COMPUTED_VALUE"""),"Mylnhurst Preparatory School")</f>
        <v>Mylnhurst Preparatory School</v>
      </c>
      <c r="D2" s="16" t="s">
        <v>70</v>
      </c>
      <c r="E2" s="22">
        <f ca="1">IFERROR(__xludf.dummyfunction("iferror(1000+INT(($N$2-(index(split(D3,"":""),1)*60+index(split(D3,"":""),2 )))/0.2+1)*$N$3,"""")"),1126)</f>
        <v>1126</v>
      </c>
      <c r="F2" s="16">
        <f ca="1">IFERROR(_xlfn.RANK.EQ(E2,E:E),"")</f>
        <v>2</v>
      </c>
      <c r="G2" s="16" t="s">
        <v>71</v>
      </c>
      <c r="H2" s="22">
        <f ca="1">IFERROR(__xludf.dummyfunction("iferror(1000+INT(($N$4-(index(split(G3,"":""),1)*60+index(split(G3,"":""),2 )))/0.2+1)*$N$5,"""")"),1090)</f>
        <v>1090</v>
      </c>
      <c r="I2" s="16">
        <f ca="1">IFERROR(_xlfn.RANK.EQ(H2,H:H),"")</f>
        <v>2</v>
      </c>
      <c r="J2" s="22">
        <f ca="1">IF(AND(D2="", G2=""), "", E2+H2)</f>
        <v>2216</v>
      </c>
      <c r="K2" s="16">
        <f ca="1">IFERROR(_xlfn.RANK.EQ(J2,J:J),"")</f>
        <v>1</v>
      </c>
      <c r="L2" s="16"/>
      <c r="M2" s="21" t="s">
        <v>38</v>
      </c>
      <c r="N2" s="26">
        <f>VLOOKUP($L$1,'Scoring tables'!$A$2:$K$57,10,0)</f>
        <v>40</v>
      </c>
    </row>
    <row r="3" spans="1:14" ht="14.5" x14ac:dyDescent="0.35">
      <c r="A3" s="16">
        <f ca="1">IFERROR(__xludf.dummyfunction("Query(Entries!$A$2:$U$1205,""select A,C,D where B = '""&amp;L1&amp;""'"")"),62)</f>
        <v>62</v>
      </c>
      <c r="B3" s="5" t="str">
        <f ca="1">IFERROR(__xludf.dummyfunction("""COMPUTED_VALUE"""),"Hugo Skinner")</f>
        <v>Hugo Skinner</v>
      </c>
      <c r="C3" s="5" t="str">
        <f ca="1">IFERROR(__xludf.dummyfunction("""COMPUTED_VALUE"""),"Mylnhurst Preparatory School")</f>
        <v>Mylnhurst Preparatory School</v>
      </c>
      <c r="D3" s="16" t="s">
        <v>68</v>
      </c>
      <c r="E3" s="22">
        <f ca="1">IFERROR(__xludf.dummyfunction("iferror(1000+INT(($N$2-(index(split(D2,"":""),1)*60+index(split(D2,"":""),2 )))/0.2+1)*$N$3,"""")"),1090)</f>
        <v>1090</v>
      </c>
      <c r="F3" s="16">
        <f ca="1">IFERROR(_xlfn.RANK.EQ(E3,E:E),"")</f>
        <v>4</v>
      </c>
      <c r="G3" s="22" t="s">
        <v>69</v>
      </c>
      <c r="H3" s="22">
        <f ca="1">IFERROR(__xludf.dummyfunction("iferror(1000+INT(($N$4-(index(split(G2,"":""),1)*60+index(split(G2,"":""),2 )))/0.2+1)*$N$5,"""")"),1066)</f>
        <v>1066</v>
      </c>
      <c r="I3" s="16">
        <f ca="1">IFERROR(_xlfn.RANK.EQ(H3,H:H),"")</f>
        <v>3</v>
      </c>
      <c r="J3" s="22">
        <f t="shared" ref="J3:J21" ca="1" si="0">IF(AND(D3="", G3=""), "", E3+H3)</f>
        <v>2156</v>
      </c>
      <c r="K3" s="16">
        <f ca="1">IFERROR(_xlfn.RANK.EQ(J3,J:J),"")</f>
        <v>2</v>
      </c>
      <c r="L3" s="16"/>
      <c r="M3" s="21" t="s">
        <v>39</v>
      </c>
      <c r="N3" s="26">
        <f>VLOOKUP($L$1,'Scoring tables'!$A$2:$K$57,11,0)</f>
        <v>6</v>
      </c>
    </row>
    <row r="4" spans="1:14" ht="14.5" x14ac:dyDescent="0.35">
      <c r="A4" s="16">
        <f ca="1">IFERROR(__xludf.dummyfunction("""COMPUTED_VALUE"""),69)</f>
        <v>69</v>
      </c>
      <c r="B4" s="5" t="str">
        <f ca="1">IFERROR(__xludf.dummyfunction("""COMPUTED_VALUE"""),"Kian O’Rourke")</f>
        <v>Kian O’Rourke</v>
      </c>
      <c r="C4" s="5" t="str">
        <f ca="1">IFERROR(__xludf.dummyfunction("""COMPUTED_VALUE"""),"Plantation Primary School")</f>
        <v>Plantation Primary School</v>
      </c>
      <c r="D4" s="16" t="s">
        <v>80</v>
      </c>
      <c r="E4" s="22">
        <f ca="1">IFERROR(__xludf.dummyfunction("iferror(1000+INT(($N$2-(index(split(D9,"":""),1)*60+index(split(D9,"":""),2 )))/0.2+1)*$N$3,"""")"),1150)</f>
        <v>1150</v>
      </c>
      <c r="F4" s="16">
        <f ca="1">IFERROR(_xlfn.RANK.EQ(E4,E:E),"")</f>
        <v>1</v>
      </c>
      <c r="G4" s="16" t="s">
        <v>81</v>
      </c>
      <c r="H4" s="22">
        <f ca="1">IFERROR(__xludf.dummyfunction("iferror(1000+INT(($N$4-(index(split(G9,"":""),1)*60+index(split(G9,"":""),2 )))/0.2+1)*$N$5,"""")"),841)</f>
        <v>841</v>
      </c>
      <c r="I4" s="16">
        <f ca="1">IFERROR(_xlfn.RANK.EQ(H4,H:H),"")</f>
        <v>7</v>
      </c>
      <c r="J4" s="22">
        <f t="shared" ca="1" si="0"/>
        <v>1991</v>
      </c>
      <c r="K4" s="16">
        <f ca="1">IFERROR(_xlfn.RANK.EQ(J4,J:J),"")</f>
        <v>3</v>
      </c>
      <c r="L4" s="16"/>
      <c r="M4" s="21" t="s">
        <v>31</v>
      </c>
      <c r="N4" s="26">
        <f>VLOOKUP($L$1,'Scoring tables'!$A$2:$K$57,5,0)</f>
        <v>175</v>
      </c>
    </row>
    <row r="5" spans="1:14" ht="14.5" x14ac:dyDescent="0.35">
      <c r="A5" s="16">
        <f ca="1">IFERROR(__xludf.dummyfunction("""COMPUTED_VALUE"""),74)</f>
        <v>74</v>
      </c>
      <c r="B5" s="5" t="str">
        <f ca="1">IFERROR(__xludf.dummyfunction("""COMPUTED_VALUE"""),"WILLIAM MCNAMARA")</f>
        <v>WILLIAM MCNAMARA</v>
      </c>
      <c r="C5" s="5" t="str">
        <f ca="1">IFERROR(__xludf.dummyfunction("""COMPUTED_VALUE"""),"Newcastle Under Lyme Junior School")</f>
        <v>Newcastle Under Lyme Junior School</v>
      </c>
      <c r="D5" s="16" t="s">
        <v>90</v>
      </c>
      <c r="E5" s="22">
        <f ca="1">IFERROR(__xludf.dummyfunction("iferror(1000+INT(($N$2-(index(split(D14,"":""),1)*60+index(split(D14,"":""),2 )))/0.2+1)*$N$3,"""")"),820)</f>
        <v>820</v>
      </c>
      <c r="F5" s="16">
        <f ca="1">IFERROR(_xlfn.RANK.EQ(E5,E:E),"")</f>
        <v>11</v>
      </c>
      <c r="G5" s="16" t="s">
        <v>91</v>
      </c>
      <c r="H5" s="22">
        <f ca="1">IFERROR(__xludf.dummyfunction("iferror(1000+INT(($N$4-(index(split(G14,"":""),1)*60+index(split(G14,"":""),2 )))/0.2+1)*$N$5,"""")"),1165)</f>
        <v>1165</v>
      </c>
      <c r="I5" s="16">
        <f ca="1">IFERROR(_xlfn.RANK.EQ(H5,H:H),"")</f>
        <v>1</v>
      </c>
      <c r="J5" s="22">
        <f t="shared" ca="1" si="0"/>
        <v>1985</v>
      </c>
      <c r="K5" s="16">
        <f ca="1">IFERROR(_xlfn.RANK.EQ(J5,J:J),"")</f>
        <v>4</v>
      </c>
      <c r="L5" s="16"/>
      <c r="M5" s="21" t="s">
        <v>32</v>
      </c>
      <c r="N5" s="26">
        <f>VLOOKUP($L$1,'Scoring tables'!$A$2:$K$57,6,0)</f>
        <v>3</v>
      </c>
    </row>
    <row r="6" spans="1:14" ht="14.5" x14ac:dyDescent="0.35">
      <c r="A6" s="16">
        <f ca="1">IFERROR(__xludf.dummyfunction("""COMPUTED_VALUE"""),71)</f>
        <v>71</v>
      </c>
      <c r="B6" s="5" t="str">
        <f ca="1">IFERROR(__xludf.dummyfunction("""COMPUTED_VALUE"""),"Zack Spavin")</f>
        <v>Zack Spavin</v>
      </c>
      <c r="C6" s="5" t="str">
        <f ca="1">IFERROR(__xludf.dummyfunction("""COMPUTED_VALUE"""),"St Peters CE Primary School Heysham")</f>
        <v>St Peters CE Primary School Heysham</v>
      </c>
      <c r="D6" s="16" t="s">
        <v>84</v>
      </c>
      <c r="E6" s="22">
        <f ca="1">IFERROR(__xludf.dummyfunction("iferror(1000+INT(($N$2-(index(split(D11,"":""),1)*60+index(split(D11,"":""),2 )))/0.2+1)*$N$3,"""")"),1078)</f>
        <v>1078</v>
      </c>
      <c r="F6" s="16">
        <f ca="1">IFERROR(_xlfn.RANK.EQ(E6,E:E),"")</f>
        <v>5</v>
      </c>
      <c r="G6" s="16" t="s">
        <v>85</v>
      </c>
      <c r="H6" s="22">
        <f ca="1">IFERROR(__xludf.dummyfunction("iferror(1000+INT(($N$4-(index(split(G11,"":""),1)*60+index(split(G11,"":""),2 )))/0.2+1)*$N$5,"""")"),868)</f>
        <v>868</v>
      </c>
      <c r="I6" s="16">
        <f ca="1">IFERROR(_xlfn.RANK.EQ(H6,H:H),"")</f>
        <v>6</v>
      </c>
      <c r="J6" s="22">
        <f t="shared" ca="1" si="0"/>
        <v>1946</v>
      </c>
      <c r="K6" s="16">
        <f ca="1">IFERROR(_xlfn.RANK.EQ(J6,J:J),"")</f>
        <v>5</v>
      </c>
      <c r="L6" s="16"/>
    </row>
    <row r="7" spans="1:14" ht="14.5" x14ac:dyDescent="0.35">
      <c r="A7" s="16">
        <f ca="1">IFERROR(__xludf.dummyfunction("""COMPUTED_VALUE"""),68)</f>
        <v>68</v>
      </c>
      <c r="B7" s="5" t="str">
        <f ca="1">IFERROR(__xludf.dummyfunction("""COMPUTED_VALUE"""),"Forrest Hopley")</f>
        <v>Forrest Hopley</v>
      </c>
      <c r="C7" s="5" t="str">
        <f ca="1">IFERROR(__xludf.dummyfunction("""COMPUTED_VALUE"""),"Childwall CE Primary School")</f>
        <v>Childwall CE Primary School</v>
      </c>
      <c r="D7" s="23" t="s">
        <v>78</v>
      </c>
      <c r="E7" s="22">
        <f ca="1">IFERROR(__xludf.dummyfunction("iferror(1000+INT(($N$2-(index(split(D8,"":""),1)*60+index(split(D8,"":""),2 )))/0.2+1)*$N$3,"""")"),1102)</f>
        <v>1102</v>
      </c>
      <c r="F7" s="16">
        <f ca="1">IFERROR(_xlfn.RANK.EQ(E7,E:E),"")</f>
        <v>3</v>
      </c>
      <c r="G7" s="16" t="s">
        <v>79</v>
      </c>
      <c r="H7" s="22">
        <f ca="1">IFERROR(__xludf.dummyfunction("iferror(1000+INT(($N$4-(index(split(G8,"":""),1)*60+index(split(G8,"":""),2 )))/0.2+1)*$N$5,"""")"),757)</f>
        <v>757</v>
      </c>
      <c r="I7" s="16">
        <f ca="1">IFERROR(_xlfn.RANK.EQ(H7,H:H),"")</f>
        <v>9</v>
      </c>
      <c r="J7" s="22">
        <f t="shared" ca="1" si="0"/>
        <v>1859</v>
      </c>
      <c r="K7" s="16">
        <f ca="1">IFERROR(_xlfn.RANK.EQ(J7,J:J),"")</f>
        <v>6</v>
      </c>
      <c r="L7" s="16"/>
    </row>
    <row r="8" spans="1:14" ht="14.5" x14ac:dyDescent="0.35">
      <c r="A8" s="16">
        <f ca="1">IFERROR(__xludf.dummyfunction("""COMPUTED_VALUE"""),73)</f>
        <v>73</v>
      </c>
      <c r="B8" s="5" t="str">
        <f ca="1">IFERROR(__xludf.dummyfunction("""COMPUTED_VALUE"""),"Idris Plesa")</f>
        <v>Idris Plesa</v>
      </c>
      <c r="C8" s="5" t="str">
        <f ca="1">IFERROR(__xludf.dummyfunction("""COMPUTED_VALUE"""),"Lostock Hall Community Primary School")</f>
        <v>Lostock Hall Community Primary School</v>
      </c>
      <c r="D8" s="16" t="s">
        <v>88</v>
      </c>
      <c r="E8" s="22">
        <f ca="1">IFERROR(__xludf.dummyfunction("iferror(1000+INT(($N$2-(index(split(D13,"":""),1)*60+index(split(D13,"":""),2 )))/0.2+1)*$N$3,"""")"),754)</f>
        <v>754</v>
      </c>
      <c r="F8" s="16">
        <f ca="1">IFERROR(_xlfn.RANK.EQ(E8,E:E),"")</f>
        <v>12</v>
      </c>
      <c r="G8" s="16" t="s">
        <v>89</v>
      </c>
      <c r="H8" s="22">
        <f ca="1">IFERROR(__xludf.dummyfunction("iferror(1000+INT(($N$4-(index(split(G13,"":""),1)*60+index(split(G13,"":""),2 )))/0.2+1)*$N$5,"""")"),976)</f>
        <v>976</v>
      </c>
      <c r="I8" s="16">
        <f ca="1">IFERROR(_xlfn.RANK.EQ(H8,H:H),"")</f>
        <v>4</v>
      </c>
      <c r="J8" s="22">
        <f t="shared" ca="1" si="0"/>
        <v>1730</v>
      </c>
      <c r="K8" s="16">
        <f ca="1">IFERROR(_xlfn.RANK.EQ(J8,J:J),"")</f>
        <v>7</v>
      </c>
      <c r="L8" s="16"/>
    </row>
    <row r="9" spans="1:14" ht="14.5" x14ac:dyDescent="0.35">
      <c r="A9" s="16">
        <f ca="1">IFERROR(__xludf.dummyfunction("""COMPUTED_VALUE"""),70)</f>
        <v>70</v>
      </c>
      <c r="B9" s="5" t="str">
        <f ca="1">IFERROR(__xludf.dummyfunction("""COMPUTED_VALUE"""),"Isaac Lumley")</f>
        <v>Isaac Lumley</v>
      </c>
      <c r="C9" s="5" t="str">
        <f ca="1">IFERROR(__xludf.dummyfunction("""COMPUTED_VALUE"""),"Fyling Hall School")</f>
        <v>Fyling Hall School</v>
      </c>
      <c r="D9" s="16" t="s">
        <v>82</v>
      </c>
      <c r="E9" s="22">
        <f ca="1">IFERROR(__xludf.dummyfunction("iferror(1000+INT(($N$2-(index(split(D10,"":""),1)*60+index(split(D10,"":""),2 )))/0.2+1)*$N$3,"""")"),832)</f>
        <v>832</v>
      </c>
      <c r="F9" s="16">
        <f ca="1">IFERROR(_xlfn.RANK.EQ(E9,E:E),"")</f>
        <v>9</v>
      </c>
      <c r="G9" s="16" t="s">
        <v>83</v>
      </c>
      <c r="H9" s="22">
        <f ca="1">IFERROR(__xludf.dummyfunction("iferror(1000+INT(($N$4-(index(split(G10,"":""),1)*60+index(split(G10,"":""),2 )))/0.2+1)*$N$5,"""")"),883)</f>
        <v>883</v>
      </c>
      <c r="I9" s="16">
        <f ca="1">IFERROR(_xlfn.RANK.EQ(H9,H:H),"")</f>
        <v>5</v>
      </c>
      <c r="J9" s="22">
        <f t="shared" ca="1" si="0"/>
        <v>1715</v>
      </c>
      <c r="K9" s="16">
        <f ca="1">IFERROR(_xlfn.RANK.EQ(J9,J:J),"")</f>
        <v>8</v>
      </c>
      <c r="L9" s="16"/>
    </row>
    <row r="10" spans="1:14" ht="14.5" x14ac:dyDescent="0.35">
      <c r="A10" s="16">
        <f ca="1">IFERROR(__xludf.dummyfunction("""COMPUTED_VALUE"""),64)</f>
        <v>64</v>
      </c>
      <c r="B10" s="5" t="str">
        <f ca="1">IFERROR(__xludf.dummyfunction("""COMPUTED_VALUE"""),"Charlie Palmer-Young")</f>
        <v>Charlie Palmer-Young</v>
      </c>
      <c r="C10" s="5" t="str">
        <f ca="1">IFERROR(__xludf.dummyfunction("""COMPUTED_VALUE"""),"Mylnhurst Preparatory School")</f>
        <v>Mylnhurst Preparatory School</v>
      </c>
      <c r="D10" s="16" t="s">
        <v>72</v>
      </c>
      <c r="E10" s="22">
        <f ca="1">IFERROR(__xludf.dummyfunction("iferror(1000+INT(($N$2-(index(split(D4,"":""),1)*60+index(split(D4,"":""),2 )))/0.2+1)*$N$3,"""")"),856)</f>
        <v>856</v>
      </c>
      <c r="F10" s="16">
        <f ca="1">IFERROR(_xlfn.RANK.EQ(E10,E:E),"")</f>
        <v>8</v>
      </c>
      <c r="G10" s="16" t="s">
        <v>73</v>
      </c>
      <c r="H10" s="22">
        <f ca="1">IFERROR(__xludf.dummyfunction("iferror(1000+INT(($N$4-(index(split(G4,"":""),1)*60+index(split(G4,"":""),2 )))/0.2+1)*$N$5,"""")"),805)</f>
        <v>805</v>
      </c>
      <c r="I10" s="16">
        <f ca="1">IFERROR(_xlfn.RANK.EQ(H10,H:H),"")</f>
        <v>8</v>
      </c>
      <c r="J10" s="22">
        <f t="shared" ca="1" si="0"/>
        <v>1661</v>
      </c>
      <c r="K10" s="16">
        <f ca="1">IFERROR(_xlfn.RANK.EQ(J10,J:J),"")</f>
        <v>9</v>
      </c>
      <c r="L10" s="16"/>
    </row>
    <row r="11" spans="1:14" ht="14.5" x14ac:dyDescent="0.35">
      <c r="A11" s="16">
        <f ca="1">IFERROR(__xludf.dummyfunction("""COMPUTED_VALUE"""),65)</f>
        <v>65</v>
      </c>
      <c r="B11" s="5" t="str">
        <f ca="1">IFERROR(__xludf.dummyfunction("""COMPUTED_VALUE"""),"Alfie Kelly")</f>
        <v>Alfie Kelly</v>
      </c>
      <c r="C11" s="5"/>
      <c r="D11" s="16" t="s">
        <v>74</v>
      </c>
      <c r="E11" s="22">
        <f ca="1">IFERROR(__xludf.dummyfunction("iferror(1000+INT(($N$2-(index(split(D5,"":""),1)*60+index(split(D5,"":""),2 )))/0.2+1)*$N$3,"""")"),1042)</f>
        <v>1042</v>
      </c>
      <c r="F11" s="16">
        <f ca="1">IFERROR(_xlfn.RANK.EQ(E11,E:E),"")</f>
        <v>6</v>
      </c>
      <c r="G11" s="16" t="s">
        <v>75</v>
      </c>
      <c r="H11" s="22">
        <f ca="1">IFERROR(__xludf.dummyfunction("iferror(1000+INT(($N$4-(index(split(G5,"":""),1)*60+index(split(G5,"":""),2 )))/0.2+1)*$N$5,"""")"),565)</f>
        <v>565</v>
      </c>
      <c r="I11" s="16">
        <f ca="1">IFERROR(_xlfn.RANK.EQ(H11,H:H),"")</f>
        <v>13</v>
      </c>
      <c r="J11" s="22">
        <f t="shared" ca="1" si="0"/>
        <v>1607</v>
      </c>
      <c r="K11" s="16">
        <f ca="1">IFERROR(_xlfn.RANK.EQ(J11,J:J),"")</f>
        <v>10</v>
      </c>
      <c r="L11" s="16"/>
    </row>
    <row r="12" spans="1:14" ht="14.5" x14ac:dyDescent="0.35">
      <c r="A12" s="16">
        <f ca="1">IFERROR(__xludf.dummyfunction("""COMPUTED_VALUE"""),66)</f>
        <v>66</v>
      </c>
      <c r="B12" s="5" t="str">
        <f ca="1">IFERROR(__xludf.dummyfunction("""COMPUTED_VALUE"""),"Nico Hunter Stuart")</f>
        <v>Nico Hunter Stuart</v>
      </c>
      <c r="C12" s="5" t="str">
        <f ca="1">IFERROR(__xludf.dummyfunction("""COMPUTED_VALUE"""),"St Dunstans College")</f>
        <v>St Dunstans College</v>
      </c>
      <c r="D12" s="16" t="s">
        <v>76</v>
      </c>
      <c r="E12" s="22">
        <f ca="1">IFERROR(__xludf.dummyfunction("iferror(1000+INT(($N$2-(index(split(D6,"":""),1)*60+index(split(D6,"":""),2 )))/0.2+1)*$N$3,"""")"),832)</f>
        <v>832</v>
      </c>
      <c r="F12" s="16">
        <f ca="1">IFERROR(_xlfn.RANK.EQ(E12,E:E),"")</f>
        <v>9</v>
      </c>
      <c r="G12" s="16" t="s">
        <v>77</v>
      </c>
      <c r="H12" s="22">
        <f ca="1">IFERROR(__xludf.dummyfunction("iferror(1000+INT(($N$4-(index(split(G6,"":""),1)*60+index(split(G6,"":""),2 )))/0.2+1)*$N$5,"""")"),631)</f>
        <v>631</v>
      </c>
      <c r="I12" s="16">
        <f ca="1">IFERROR(_xlfn.RANK.EQ(H12,H:H),"")</f>
        <v>11</v>
      </c>
      <c r="J12" s="22">
        <f t="shared" ca="1" si="0"/>
        <v>1463</v>
      </c>
      <c r="K12" s="16">
        <f ca="1">IFERROR(_xlfn.RANK.EQ(J12,J:J),"")</f>
        <v>11</v>
      </c>
      <c r="L12" s="16"/>
    </row>
    <row r="13" spans="1:14" ht="14.5" x14ac:dyDescent="0.35">
      <c r="A13" s="16">
        <f ca="1">IFERROR(__xludf.dummyfunction("""COMPUTED_VALUE"""),75)</f>
        <v>75</v>
      </c>
      <c r="B13" s="5" t="str">
        <f ca="1">IFERROR(__xludf.dummyfunction("""COMPUTED_VALUE"""),"Lucas Bateson")</f>
        <v>Lucas Bateson</v>
      </c>
      <c r="C13" s="5" t="str">
        <f ca="1">IFERROR(__xludf.dummyfunction("""COMPUTED_VALUE"""),"Aspull Church Primary School")</f>
        <v>Aspull Church Primary School</v>
      </c>
      <c r="D13" s="16" t="s">
        <v>92</v>
      </c>
      <c r="E13" s="22">
        <f ca="1">IFERROR(__xludf.dummyfunction("iferror(1000+INT(($N$2-(index(split(D15,"":""),1)*60+index(split(D15,"":""),2 )))/0.2+1)*$N$3,"""")"),688)</f>
        <v>688</v>
      </c>
      <c r="F13" s="16">
        <f ca="1">IFERROR(_xlfn.RANK.EQ(E13,E:E),"")</f>
        <v>13</v>
      </c>
      <c r="G13" s="16" t="s">
        <v>93</v>
      </c>
      <c r="H13" s="22">
        <f ca="1">IFERROR(__xludf.dummyfunction("iferror(1000+INT(($N$4-(index(split(G15,"":""),1)*60+index(split(G15,"":""),2 )))/0.2+1)*$N$5,"""")"),679)</f>
        <v>679</v>
      </c>
      <c r="I13" s="16">
        <f ca="1">IFERROR(_xlfn.RANK.EQ(H13,H:H),"")</f>
        <v>10</v>
      </c>
      <c r="J13" s="22">
        <f t="shared" ca="1" si="0"/>
        <v>1367</v>
      </c>
      <c r="K13" s="16">
        <f ca="1">IFERROR(_xlfn.RANK.EQ(J13,J:J),"")</f>
        <v>12</v>
      </c>
      <c r="L13" s="16"/>
    </row>
    <row r="14" spans="1:14" ht="14.5" x14ac:dyDescent="0.35">
      <c r="A14" s="16">
        <f ca="1">IFERROR(__xludf.dummyfunction("""COMPUTED_VALUE"""),76)</f>
        <v>76</v>
      </c>
      <c r="B14" s="5" t="str">
        <f ca="1">IFERROR(__xludf.dummyfunction("""COMPUTED_VALUE"""),"Joseph Canty")</f>
        <v>Joseph Canty</v>
      </c>
      <c r="C14" s="5" t="str">
        <f ca="1">IFERROR(__xludf.dummyfunction("""COMPUTED_VALUE"""),"St Josephs Catholic Primary School")</f>
        <v>St Josephs Catholic Primary School</v>
      </c>
      <c r="D14" s="16" t="s">
        <v>94</v>
      </c>
      <c r="E14" s="22">
        <f ca="1">IFERROR(__xludf.dummyfunction("iferror(1000+INT(($N$2-(index(split(D16,"":""),1)*60+index(split(D16,"":""),2 )))/0.2+1)*$N$3,"""")"),652)</f>
        <v>652</v>
      </c>
      <c r="F14" s="16">
        <f ca="1">IFERROR(_xlfn.RANK.EQ(E14,E:E),"")</f>
        <v>14</v>
      </c>
      <c r="G14" s="16" t="s">
        <v>95</v>
      </c>
      <c r="H14" s="22">
        <f ca="1">IFERROR(__xludf.dummyfunction("iferror(1000+INT(($N$4-(index(split(G16,"":""),1)*60+index(split(G16,"":""),2 )))/0.2+1)*$N$5,"""")"),469)</f>
        <v>469</v>
      </c>
      <c r="I14" s="16">
        <f ca="1">IFERROR(_xlfn.RANK.EQ(H14,H:H),"")</f>
        <v>14</v>
      </c>
      <c r="J14" s="22">
        <f t="shared" ca="1" si="0"/>
        <v>1121</v>
      </c>
      <c r="K14" s="16">
        <f ca="1">IFERROR(_xlfn.RANK.EQ(J14,J:J),"")</f>
        <v>13</v>
      </c>
      <c r="L14" s="16"/>
    </row>
    <row r="15" spans="1:14" ht="14.5" x14ac:dyDescent="0.35">
      <c r="A15" s="16">
        <f ca="1">IFERROR(__xludf.dummyfunction("""COMPUTED_VALUE"""),77)</f>
        <v>77</v>
      </c>
      <c r="B15" s="5" t="str">
        <f ca="1">IFERROR(__xludf.dummyfunction("""COMPUTED_VALUE"""),"Ianis Iordachescu")</f>
        <v>Ianis Iordachescu</v>
      </c>
      <c r="C15" s="5" t="str">
        <f ca="1">IFERROR(__xludf.dummyfunction("""COMPUTED_VALUE"""),"Aspull Church Primary School")</f>
        <v>Aspull Church Primary School</v>
      </c>
      <c r="D15" s="16" t="s">
        <v>96</v>
      </c>
      <c r="E15" s="22">
        <f ca="1">IFERROR(__xludf.dummyfunction("iferror(1000+INT(($N$2-(index(split(D17,"":""),1)*60+index(split(D17,"":""),2 )))/0.2+1)*$N$3,"""")"),316)</f>
        <v>316</v>
      </c>
      <c r="F15" s="16">
        <f ca="1">IFERROR(_xlfn.RANK.EQ(E15,E:E),"")</f>
        <v>15</v>
      </c>
      <c r="G15" s="16" t="s">
        <v>97</v>
      </c>
      <c r="H15" s="22">
        <f ca="1">IFERROR(__xludf.dummyfunction("iferror(1000+INT(($N$4-(index(split(G17,"":""),1)*60+index(split(G17,"":""),2 )))/0.2+1)*$N$5,"""")"),625)</f>
        <v>625</v>
      </c>
      <c r="I15" s="16">
        <f ca="1">IFERROR(_xlfn.RANK.EQ(H15,H:H),"")</f>
        <v>12</v>
      </c>
      <c r="J15" s="22">
        <f t="shared" ca="1" si="0"/>
        <v>941</v>
      </c>
      <c r="K15" s="16">
        <f ca="1">IFERROR(_xlfn.RANK.EQ(J15,J:J),"")</f>
        <v>14</v>
      </c>
      <c r="L15" s="16"/>
    </row>
    <row r="16" spans="1:14" ht="14.5" x14ac:dyDescent="0.35">
      <c r="A16" s="16">
        <f ca="1">IFERROR(__xludf.dummyfunction("""COMPUTED_VALUE"""),72)</f>
        <v>72</v>
      </c>
      <c r="B16" s="5" t="str">
        <f ca="1">IFERROR(__xludf.dummyfunction("""COMPUTED_VALUE"""),"rory robinson")</f>
        <v>rory robinson</v>
      </c>
      <c r="C16" s="5" t="str">
        <f ca="1">IFERROR(__xludf.dummyfunction("""COMPUTED_VALUE"""),"St Bartholomews CE Primary School")</f>
        <v>St Bartholomews CE Primary School</v>
      </c>
      <c r="D16" s="16" t="s">
        <v>86</v>
      </c>
      <c r="E16" s="22">
        <f ca="1">IFERROR(__xludf.dummyfunction("iferror(1000+INT(($N$2-(index(split(D12,"":""),1)*60+index(split(D12,"":""),2 )))/0.2+1)*$N$3,"""")"),868)</f>
        <v>868</v>
      </c>
      <c r="F16" s="16">
        <f ca="1">IFERROR(_xlfn.RANK.EQ(E16,E:E),"")</f>
        <v>7</v>
      </c>
      <c r="G16" s="16" t="s">
        <v>87</v>
      </c>
      <c r="H16" s="22">
        <f ca="1">IFERROR(__xludf.dummyfunction("iferror(1000+INT(($N$4-(index(split(G12,"":""),1)*60+index(split(G12,"":""),2 )))/0.2+1)*$N$5,"""")"),-239)</f>
        <v>-239</v>
      </c>
      <c r="I16" s="16">
        <f ca="1">IFERROR(_xlfn.RANK.EQ(H16,H:H),"")</f>
        <v>16</v>
      </c>
      <c r="J16" s="22">
        <f t="shared" ca="1" si="0"/>
        <v>629</v>
      </c>
      <c r="K16" s="16">
        <f ca="1">IFERROR(_xlfn.RANK.EQ(J16,J:J),"")</f>
        <v>15</v>
      </c>
      <c r="L16" s="16"/>
    </row>
    <row r="17" spans="1:12" ht="14.5" x14ac:dyDescent="0.35">
      <c r="A17" s="16">
        <f ca="1">IFERROR(__xludf.dummyfunction("""COMPUTED_VALUE"""),78)</f>
        <v>78</v>
      </c>
      <c r="B17" s="5" t="str">
        <f ca="1">IFERROR(__xludf.dummyfunction("""COMPUTED_VALUE"""),"Max Finnerty")</f>
        <v>Max Finnerty</v>
      </c>
      <c r="C17" s="5" t="str">
        <f ca="1">IFERROR(__xludf.dummyfunction("""COMPUTED_VALUE"""),"Aspull Church Primary School")</f>
        <v>Aspull Church Primary School</v>
      </c>
      <c r="D17" s="16" t="s">
        <v>98</v>
      </c>
      <c r="E17" s="22">
        <f ca="1">IFERROR(__xludf.dummyfunction("iferror(1000+INT(($N$2-(index(split(D18,"":""),1)*60+index(split(D18,"":""),2 )))/0.2+1)*$N$3,"""")"),-350)</f>
        <v>-350</v>
      </c>
      <c r="F17" s="16">
        <f ca="1">IFERROR(_xlfn.RANK.EQ(E17,E:E),"")</f>
        <v>16</v>
      </c>
      <c r="G17" s="16" t="s">
        <v>99</v>
      </c>
      <c r="H17" s="22">
        <f ca="1">IFERROR(__xludf.dummyfunction("iferror(1000+INT(($N$4-(index(split(G18,"":""),1)*60+index(split(G18,"":""),2 )))/0.2+1)*$N$5,"""")"),-200)</f>
        <v>-200</v>
      </c>
      <c r="I17" s="16">
        <f ca="1">IFERROR(_xlfn.RANK.EQ(H17,H:H),"")</f>
        <v>15</v>
      </c>
      <c r="J17" s="22">
        <f t="shared" ca="1" si="0"/>
        <v>-550</v>
      </c>
      <c r="K17" s="16">
        <f ca="1">IFERROR(_xlfn.RANK.EQ(J17,J:J),"")</f>
        <v>16</v>
      </c>
      <c r="L17" s="16"/>
    </row>
    <row r="18" spans="1:12" ht="14.5" x14ac:dyDescent="0.35">
      <c r="A18" s="28">
        <f ca="1">IFERROR(__xludf.dummyfunction("""COMPUTED_VALUE"""),67)</f>
        <v>67</v>
      </c>
      <c r="B18" s="29" t="str">
        <f ca="1">IFERROR(__xludf.dummyfunction("""COMPUTED_VALUE"""),"Emmerson Hunter Stuart")</f>
        <v>Emmerson Hunter Stuart</v>
      </c>
      <c r="C18" s="29" t="str">
        <f ca="1">IFERROR(__xludf.dummyfunction("""COMPUTED_VALUE"""),"St Dunstans College")</f>
        <v>St Dunstans College</v>
      </c>
      <c r="D18" s="28"/>
      <c r="E18" s="30" t="str">
        <f ca="1">IFERROR(__xludf.dummyfunction("iferror(1000+INT(($N$2-(index(split(D7,"":""),1)*60+index(split(D7,"":""),2 )))/0.2+1)*$N$3,"""")"),"")</f>
        <v/>
      </c>
      <c r="F18" s="28" t="str">
        <f ca="1">IFERROR(_xlfn.RANK.EQ(E18,E:E),"")</f>
        <v/>
      </c>
      <c r="G18" s="28"/>
      <c r="H18" s="30" t="str">
        <f ca="1">IFERROR(__xludf.dummyfunction("iferror(1000+INT(($N$4-(index(split(G7,"":""),1)*60+index(split(G7,"":""),2 )))/0.2+1)*$N$5,"""")"),"")</f>
        <v/>
      </c>
      <c r="I18" s="28" t="str">
        <f ca="1">IFERROR(_xlfn.RANK.EQ(H18,H:H),"")</f>
        <v/>
      </c>
      <c r="J18" s="30" t="str">
        <f t="shared" si="0"/>
        <v/>
      </c>
      <c r="K18" s="28" t="s">
        <v>444</v>
      </c>
      <c r="L18" s="16"/>
    </row>
    <row r="19" spans="1:12" ht="14.5" x14ac:dyDescent="0.35">
      <c r="A19" s="16"/>
      <c r="B19" s="16"/>
      <c r="C19" s="16"/>
      <c r="D19" s="16"/>
      <c r="E19" s="22" t="str">
        <f ca="1">IFERROR(__xludf.dummyfunction("iferror(1000+INT(($N$2-(index(split(D19,"":""),1)*60+index(split(D19,"":""),2 )))/0.2+1)*$N$3,"""")"),"")</f>
        <v/>
      </c>
      <c r="F19" s="16" t="str">
        <f t="shared" ref="F2:F33" ca="1" si="1">IFERROR(_xlfn.RANK.EQ(E19,E:E),"")</f>
        <v/>
      </c>
      <c r="G19" s="16"/>
      <c r="H19" s="22" t="str">
        <f ca="1">IFERROR(__xludf.dummyfunction("iferror(1000+INT(($N$4-(index(split(G19,"":""),1)*60+index(split(G19,"":""),2 )))/0.2+1)*$N$5,"""")"),"")</f>
        <v/>
      </c>
      <c r="I19" s="16" t="str">
        <f t="shared" ref="I2:I33" ca="1" si="2">IFERROR(_xlfn.RANK.EQ(H19,H:H),"")</f>
        <v/>
      </c>
      <c r="J19" s="22" t="str">
        <f t="shared" si="0"/>
        <v/>
      </c>
      <c r="K19" s="16" t="str">
        <f t="shared" ref="K2:K33" si="3">IFERROR(_xlfn.RANK.EQ(J19,J:J),"")</f>
        <v/>
      </c>
      <c r="L19" s="16"/>
    </row>
    <row r="20" spans="1:12" ht="14.5" x14ac:dyDescent="0.35">
      <c r="A20" s="16"/>
      <c r="B20" s="16"/>
      <c r="C20" s="16"/>
      <c r="D20" s="16"/>
      <c r="E20" s="22" t="str">
        <f ca="1">IFERROR(__xludf.dummyfunction("iferror(1000+INT(($N$2-(index(split(D20,"":""),1)*60+index(split(D20,"":""),2 )))/0.2+1)*$N$3,"""")"),"")</f>
        <v/>
      </c>
      <c r="F20" s="16" t="str">
        <f t="shared" ca="1" si="1"/>
        <v/>
      </c>
      <c r="G20" s="16"/>
      <c r="H20" s="22" t="str">
        <f ca="1">IFERROR(__xludf.dummyfunction("iferror(1000+INT(($N$4-(index(split(G20,"":""),1)*60+index(split(G20,"":""),2 )))/0.2+1)*$N$5,"""")"),"")</f>
        <v/>
      </c>
      <c r="I20" s="16" t="str">
        <f t="shared" ca="1" si="2"/>
        <v/>
      </c>
      <c r="J20" s="22" t="str">
        <f t="shared" si="0"/>
        <v/>
      </c>
      <c r="K20" s="16" t="str">
        <f t="shared" si="3"/>
        <v/>
      </c>
      <c r="L20" s="16"/>
    </row>
    <row r="21" spans="1:12" ht="14.5" x14ac:dyDescent="0.35">
      <c r="A21" s="16"/>
      <c r="B21" s="16"/>
      <c r="C21" s="16"/>
      <c r="D21" s="16"/>
      <c r="E21" s="22" t="str">
        <f ca="1">IFERROR(__xludf.dummyfunction("iferror(1000+INT(($N$2-(index(split(D21,"":""),1)*60+index(split(D21,"":""),2 )))/0.2+1)*$N$3,"""")"),"")</f>
        <v/>
      </c>
      <c r="F21" s="16" t="str">
        <f t="shared" ca="1" si="1"/>
        <v/>
      </c>
      <c r="G21" s="16"/>
      <c r="H21" s="22" t="str">
        <f ca="1">IFERROR(__xludf.dummyfunction("iferror(1000+INT(($N$4-(index(split(G21,"":""),1)*60+index(split(G21,"":""),2 )))/0.2+1)*$N$5,"""")"),"")</f>
        <v/>
      </c>
      <c r="I21" s="16" t="str">
        <f t="shared" ca="1" si="2"/>
        <v/>
      </c>
      <c r="J21" s="22" t="str">
        <f t="shared" si="0"/>
        <v/>
      </c>
      <c r="K21" s="16" t="str">
        <f t="shared" si="3"/>
        <v/>
      </c>
      <c r="L21" s="16"/>
    </row>
    <row r="22" spans="1:12" ht="14.5" x14ac:dyDescent="0.35">
      <c r="A22" s="16"/>
      <c r="B22" s="16"/>
      <c r="C22" s="16"/>
      <c r="D22" s="16"/>
      <c r="E22" s="22" t="str">
        <f ca="1">IFERROR(__xludf.dummyfunction("iferror(1000+INT(($N$2-(index(split(D22,"":""),1)*60+index(split(D22,"":""),2 )))/0.2+1)*$N$3,"""")"),"")</f>
        <v/>
      </c>
      <c r="F22" s="16" t="str">
        <f t="shared" ca="1" si="1"/>
        <v/>
      </c>
      <c r="G22" s="16"/>
      <c r="H22" s="22" t="str">
        <f ca="1">IFERROR(__xludf.dummyfunction("iferror(1000+INT(($N$4-(index(split(G22,"":""),1)*60+index(split(G22,"":""),2 )))/0.2+1)*$N$5,"""")"),"")</f>
        <v/>
      </c>
      <c r="I22" s="16" t="str">
        <f t="shared" ca="1" si="2"/>
        <v/>
      </c>
      <c r="J22" s="16" t="str">
        <f t="shared" ref="J2:J33" si="4">IF(AND(D22="", G22=""), "", E22+H22)</f>
        <v/>
      </c>
      <c r="K22" s="16" t="str">
        <f t="shared" si="3"/>
        <v/>
      </c>
      <c r="L22" s="16"/>
    </row>
    <row r="23" spans="1:12" ht="14.5" x14ac:dyDescent="0.35">
      <c r="A23" s="16"/>
      <c r="B23" s="16"/>
      <c r="C23" s="16"/>
      <c r="D23" s="16"/>
      <c r="E23" s="22" t="str">
        <f ca="1">IFERROR(__xludf.dummyfunction("iferror(1000+INT(($N$2-(index(split(D23,"":""),1)*60+index(split(D23,"":""),2 )))/0.2+1)*$N$3,"""")"),"")</f>
        <v/>
      </c>
      <c r="F23" s="16" t="str">
        <f t="shared" ca="1" si="1"/>
        <v/>
      </c>
      <c r="G23" s="16"/>
      <c r="H23" s="22" t="str">
        <f ca="1">IFERROR(__xludf.dummyfunction("iferror(1000+INT(($N$4-(index(split(G23,"":""),1)*60+index(split(G23,"":""),2 )))/0.2+1)*$N$5,"""")"),"")</f>
        <v/>
      </c>
      <c r="I23" s="16" t="str">
        <f t="shared" ca="1" si="2"/>
        <v/>
      </c>
      <c r="J23" s="16" t="str">
        <f t="shared" si="4"/>
        <v/>
      </c>
      <c r="K23" s="16" t="str">
        <f t="shared" si="3"/>
        <v/>
      </c>
      <c r="L23" s="16"/>
    </row>
    <row r="24" spans="1:12" ht="14.5" x14ac:dyDescent="0.35">
      <c r="A24" s="16"/>
      <c r="B24" s="16"/>
      <c r="C24" s="16"/>
      <c r="D24" s="16"/>
      <c r="E24" s="22" t="str">
        <f ca="1">IFERROR(__xludf.dummyfunction("iferror(1000+INT(($N$2-(index(split(D24,"":""),1)*60+index(split(D24,"":""),2 )))/0.2+1)*$N$3,"""")"),"")</f>
        <v/>
      </c>
      <c r="F24" s="16" t="str">
        <f t="shared" ca="1" si="1"/>
        <v/>
      </c>
      <c r="G24" s="16"/>
      <c r="H24" s="22" t="str">
        <f ca="1">IFERROR(__xludf.dummyfunction("iferror(1000+INT(($N$4-(index(split(G24,"":""),1)*60+index(split(G24,"":""),2 )))/0.2+1)*$N$5,"""")"),"")</f>
        <v/>
      </c>
      <c r="I24" s="16" t="str">
        <f t="shared" ca="1" si="2"/>
        <v/>
      </c>
      <c r="J24" s="16" t="str">
        <f t="shared" si="4"/>
        <v/>
      </c>
      <c r="K24" s="16" t="str">
        <f t="shared" si="3"/>
        <v/>
      </c>
      <c r="L24" s="16"/>
    </row>
    <row r="25" spans="1:12" ht="14.5" x14ac:dyDescent="0.35">
      <c r="A25" s="16"/>
      <c r="B25" s="16"/>
      <c r="C25" s="16"/>
      <c r="D25" s="16"/>
      <c r="E25" s="22" t="str">
        <f ca="1">IFERROR(__xludf.dummyfunction("iferror(1000+INT(($N$2-(index(split(D25,"":""),1)*60+index(split(D25,"":""),2 )))/0.2+1)*$N$3,"""")"),"")</f>
        <v/>
      </c>
      <c r="F25" s="16" t="str">
        <f t="shared" ca="1" si="1"/>
        <v/>
      </c>
      <c r="G25" s="16"/>
      <c r="H25" s="22" t="str">
        <f ca="1">IFERROR(__xludf.dummyfunction("iferror(1000+INT(($N$4-(index(split(G25,"":""),1)*60+index(split(G25,"":""),2 )))/0.2+1)*$N$5,"""")"),"")</f>
        <v/>
      </c>
      <c r="I25" s="16" t="str">
        <f t="shared" ca="1" si="2"/>
        <v/>
      </c>
      <c r="J25" s="16" t="str">
        <f t="shared" si="4"/>
        <v/>
      </c>
      <c r="K25" s="16" t="str">
        <f t="shared" si="3"/>
        <v/>
      </c>
      <c r="L25" s="16"/>
    </row>
    <row r="26" spans="1:12" ht="14.5" x14ac:dyDescent="0.35">
      <c r="A26" s="16"/>
      <c r="B26" s="16"/>
      <c r="C26" s="16"/>
      <c r="D26" s="16"/>
      <c r="E26" s="22" t="str">
        <f ca="1">IFERROR(__xludf.dummyfunction("iferror(1000+INT(($N$2-(index(split(D26,"":""),1)*60+index(split(D26,"":""),2 )))/0.2+1)*$N$3,"""")"),"")</f>
        <v/>
      </c>
      <c r="F26" s="16" t="str">
        <f t="shared" ca="1" si="1"/>
        <v/>
      </c>
      <c r="G26" s="16"/>
      <c r="H26" s="22" t="str">
        <f ca="1">IFERROR(__xludf.dummyfunction("iferror(1000+INT(($N$4-(index(split(G26,"":""),1)*60+index(split(G26,"":""),2 )))/0.2+1)*$N$5,"""")"),"")</f>
        <v/>
      </c>
      <c r="I26" s="16" t="str">
        <f t="shared" ca="1" si="2"/>
        <v/>
      </c>
      <c r="J26" s="16" t="str">
        <f t="shared" si="4"/>
        <v/>
      </c>
      <c r="K26" s="16" t="str">
        <f t="shared" si="3"/>
        <v/>
      </c>
      <c r="L26" s="16"/>
    </row>
    <row r="27" spans="1:12" ht="14.5" x14ac:dyDescent="0.35">
      <c r="A27" s="16"/>
      <c r="B27" s="16"/>
      <c r="C27" s="16"/>
      <c r="D27" s="16"/>
      <c r="E27" s="22" t="str">
        <f ca="1">IFERROR(__xludf.dummyfunction("iferror(1000+INT(($N$2-(index(split(D27,"":""),1)*60+index(split(D27,"":""),2 )))/0.2+1)*$N$3,"""")"),"")</f>
        <v/>
      </c>
      <c r="F27" s="16" t="str">
        <f t="shared" ca="1" si="1"/>
        <v/>
      </c>
      <c r="G27" s="16"/>
      <c r="H27" s="22" t="str">
        <f ca="1">IFERROR(__xludf.dummyfunction("iferror(1000+INT(($N$4-(index(split(G27,"":""),1)*60+index(split(G27,"":""),2 )))/0.2+1)*$N$5,"""")"),"")</f>
        <v/>
      </c>
      <c r="I27" s="16" t="str">
        <f t="shared" ca="1" si="2"/>
        <v/>
      </c>
      <c r="J27" s="16" t="str">
        <f t="shared" si="4"/>
        <v/>
      </c>
      <c r="K27" s="16" t="str">
        <f t="shared" si="3"/>
        <v/>
      </c>
      <c r="L27" s="16"/>
    </row>
    <row r="28" spans="1:12" ht="14.5" x14ac:dyDescent="0.35">
      <c r="A28" s="16"/>
      <c r="B28" s="16"/>
      <c r="C28" s="16"/>
      <c r="D28" s="16"/>
      <c r="E28" s="22" t="str">
        <f ca="1">IFERROR(__xludf.dummyfunction("iferror(1000+INT(($N$2-(index(split(D28,"":""),1)*60+index(split(D28,"":""),2 )))/0.2+1)*$N$3,"""")"),"")</f>
        <v/>
      </c>
      <c r="F28" s="16" t="str">
        <f t="shared" ca="1" si="1"/>
        <v/>
      </c>
      <c r="G28" s="16"/>
      <c r="H28" s="22" t="str">
        <f ca="1">IFERROR(__xludf.dummyfunction("iferror(1000+INT(($N$4-(index(split(G28,"":""),1)*60+index(split(G28,"":""),2 )))/0.2+1)*$N$5,"""")"),"")</f>
        <v/>
      </c>
      <c r="I28" s="16" t="str">
        <f t="shared" ca="1" si="2"/>
        <v/>
      </c>
      <c r="J28" s="16" t="str">
        <f t="shared" si="4"/>
        <v/>
      </c>
      <c r="K28" s="16" t="str">
        <f t="shared" si="3"/>
        <v/>
      </c>
      <c r="L28" s="16"/>
    </row>
    <row r="29" spans="1:12" ht="14.5" x14ac:dyDescent="0.35">
      <c r="A29" s="16"/>
      <c r="B29" s="16"/>
      <c r="C29" s="16"/>
      <c r="D29" s="16"/>
      <c r="E29" s="22" t="str">
        <f ca="1">IFERROR(__xludf.dummyfunction("iferror(1000+INT(($N$2-(index(split(D29,"":""),1)*60+index(split(D29,"":""),2 )))/0.2+1)*$N$3,"""")"),"")</f>
        <v/>
      </c>
      <c r="F29" s="16" t="str">
        <f t="shared" ca="1" si="1"/>
        <v/>
      </c>
      <c r="G29" s="16"/>
      <c r="H29" s="22" t="str">
        <f ca="1">IFERROR(__xludf.dummyfunction("iferror(1000+INT(($N$4-(index(split(G29,"":""),1)*60+index(split(G29,"":""),2 )))/0.2+1)*$N$5,"""")"),"")</f>
        <v/>
      </c>
      <c r="I29" s="16" t="str">
        <f t="shared" ca="1" si="2"/>
        <v/>
      </c>
      <c r="J29" s="16" t="str">
        <f t="shared" si="4"/>
        <v/>
      </c>
      <c r="K29" s="16" t="str">
        <f t="shared" si="3"/>
        <v/>
      </c>
      <c r="L29" s="16"/>
    </row>
    <row r="30" spans="1:12" ht="14.5" x14ac:dyDescent="0.35">
      <c r="A30" s="16"/>
      <c r="B30" s="16"/>
      <c r="C30" s="16"/>
      <c r="D30" s="16"/>
      <c r="E30" s="22" t="str">
        <f ca="1">IFERROR(__xludf.dummyfunction("iferror(1000+INT(($N$2-(index(split(D30,"":""),1)*60+index(split(D30,"":""),2 )))/0.2+1)*$N$3,"""")"),"")</f>
        <v/>
      </c>
      <c r="F30" s="16" t="str">
        <f t="shared" ca="1" si="1"/>
        <v/>
      </c>
      <c r="G30" s="16"/>
      <c r="H30" s="22" t="str">
        <f ca="1">IFERROR(__xludf.dummyfunction("iferror(1000+INT(($N$4-(index(split(G30,"":""),1)*60+index(split(G30,"":""),2 )))/0.2+1)*$N$5,"""")"),"")</f>
        <v/>
      </c>
      <c r="I30" s="16" t="str">
        <f t="shared" ca="1" si="2"/>
        <v/>
      </c>
      <c r="J30" s="16" t="str">
        <f t="shared" si="4"/>
        <v/>
      </c>
      <c r="K30" s="16" t="str">
        <f t="shared" si="3"/>
        <v/>
      </c>
      <c r="L30" s="16"/>
    </row>
    <row r="31" spans="1:12" ht="14.5" x14ac:dyDescent="0.35">
      <c r="A31" s="16"/>
      <c r="B31" s="16"/>
      <c r="C31" s="16"/>
      <c r="D31" s="16"/>
      <c r="E31" s="22" t="str">
        <f ca="1">IFERROR(__xludf.dummyfunction("iferror(1000+INT(($N$2-(index(split(D31,"":""),1)*60+index(split(D31,"":""),2 )))/0.2+1)*$N$3,"""")"),"")</f>
        <v/>
      </c>
      <c r="F31" s="16" t="str">
        <f t="shared" ca="1" si="1"/>
        <v/>
      </c>
      <c r="G31" s="16"/>
      <c r="H31" s="22" t="str">
        <f ca="1">IFERROR(__xludf.dummyfunction("iferror(1000+INT(($N$4-(index(split(G31,"":""),1)*60+index(split(G31,"":""),2 )))/0.2+1)*$N$5,"""")"),"")</f>
        <v/>
      </c>
      <c r="I31" s="16" t="str">
        <f t="shared" ca="1" si="2"/>
        <v/>
      </c>
      <c r="J31" s="16" t="str">
        <f t="shared" si="4"/>
        <v/>
      </c>
      <c r="K31" s="16" t="str">
        <f t="shared" si="3"/>
        <v/>
      </c>
      <c r="L31" s="16"/>
    </row>
    <row r="32" spans="1:12" ht="14.5" x14ac:dyDescent="0.35">
      <c r="A32" s="16"/>
      <c r="B32" s="16"/>
      <c r="C32" s="16"/>
      <c r="D32" s="16"/>
      <c r="E32" s="22" t="str">
        <f ca="1">IFERROR(__xludf.dummyfunction("iferror(1000+INT(($N$2-(index(split(D32,"":""),1)*60+index(split(D32,"":""),2 )))/0.2+1)*$N$3,"""")"),"")</f>
        <v/>
      </c>
      <c r="F32" s="16" t="str">
        <f t="shared" ca="1" si="1"/>
        <v/>
      </c>
      <c r="G32" s="16"/>
      <c r="H32" s="22" t="str">
        <f ca="1">IFERROR(__xludf.dummyfunction("iferror(1000+INT(($N$4-(index(split(G32,"":""),1)*60+index(split(G32,"":""),2 )))/0.2+1)*$N$5,"""")"),"")</f>
        <v/>
      </c>
      <c r="I32" s="16" t="str">
        <f t="shared" ca="1" si="2"/>
        <v/>
      </c>
      <c r="J32" s="16" t="str">
        <f t="shared" si="4"/>
        <v/>
      </c>
      <c r="K32" s="16" t="str">
        <f t="shared" si="3"/>
        <v/>
      </c>
      <c r="L32" s="16"/>
    </row>
    <row r="33" spans="1:12" ht="14.5" x14ac:dyDescent="0.35">
      <c r="A33" s="16"/>
      <c r="B33" s="16"/>
      <c r="C33" s="16"/>
      <c r="D33" s="16"/>
      <c r="E33" s="22" t="str">
        <f ca="1">IFERROR(__xludf.dummyfunction("iferror(1000+INT(($N$2-(index(split(D33,"":""),1)*60+index(split(D33,"":""),2 )))/0.2+1)*$N$3,"""")"),"")</f>
        <v/>
      </c>
      <c r="F33" s="16" t="str">
        <f t="shared" ca="1" si="1"/>
        <v/>
      </c>
      <c r="G33" s="16"/>
      <c r="H33" s="22" t="str">
        <f ca="1">IFERROR(__xludf.dummyfunction("iferror(1000+INT(($N$4-(index(split(G33,"":""),1)*60+index(split(G33,"":""),2 )))/0.2+1)*$N$5,"""")"),"")</f>
        <v/>
      </c>
      <c r="I33" s="16" t="str">
        <f t="shared" ca="1" si="2"/>
        <v/>
      </c>
      <c r="J33" s="16" t="str">
        <f t="shared" si="4"/>
        <v/>
      </c>
      <c r="K33" s="16" t="str">
        <f t="shared" si="3"/>
        <v/>
      </c>
      <c r="L33" s="16"/>
    </row>
    <row r="34" spans="1:12" ht="14.5" x14ac:dyDescent="0.35">
      <c r="A34" s="16"/>
      <c r="B34" s="16"/>
      <c r="C34" s="16"/>
      <c r="D34" s="16"/>
      <c r="E34" s="22" t="str">
        <f ca="1">IFERROR(__xludf.dummyfunction("iferror(1000+INT(($N$2-(index(split(D34,"":""),1)*60+index(split(D34,"":""),2 )))/0.2+1)*$N$3,"""")"),"")</f>
        <v/>
      </c>
      <c r="F34" s="16" t="str">
        <f t="shared" ref="F34:F65" ca="1" si="5">IFERROR(_xlfn.RANK.EQ(E34,E:E),"")</f>
        <v/>
      </c>
      <c r="G34" s="16"/>
      <c r="H34" s="22" t="str">
        <f ca="1">IFERROR(__xludf.dummyfunction("iferror(1000+INT(($N$4-(index(split(G34,"":""),1)*60+index(split(G34,"":""),2 )))/0.2+1)*$N$5,"""")"),"")</f>
        <v/>
      </c>
      <c r="I34" s="16" t="str">
        <f t="shared" ref="I34:I65" ca="1" si="6">IFERROR(_xlfn.RANK.EQ(H34,H:H),"")</f>
        <v/>
      </c>
      <c r="J34" s="16" t="str">
        <f t="shared" ref="J34:J65" si="7">IF(AND(D34="", G34=""), "", E34+H34)</f>
        <v/>
      </c>
      <c r="K34" s="16" t="str">
        <f t="shared" ref="K34:K65" si="8">IFERROR(_xlfn.RANK.EQ(J34,J:J),"")</f>
        <v/>
      </c>
      <c r="L34" s="16"/>
    </row>
    <row r="35" spans="1:12" ht="14.5" x14ac:dyDescent="0.35">
      <c r="A35" s="16"/>
      <c r="B35" s="16"/>
      <c r="C35" s="16"/>
      <c r="D35" s="16"/>
      <c r="E35" s="22" t="str">
        <f ca="1">IFERROR(__xludf.dummyfunction("iferror(1000+INT(($N$2-(index(split(D35,"":""),1)*60+index(split(D35,"":""),2 )))/0.2+1)*$N$3,"""")"),"")</f>
        <v/>
      </c>
      <c r="F35" s="16" t="str">
        <f t="shared" ca="1" si="5"/>
        <v/>
      </c>
      <c r="G35" s="16"/>
      <c r="H35" s="22" t="str">
        <f ca="1">IFERROR(__xludf.dummyfunction("iferror(1000+INT(($N$4-(index(split(G35,"":""),1)*60+index(split(G35,"":""),2 )))/0.2+1)*$N$5,"""")"),"")</f>
        <v/>
      </c>
      <c r="I35" s="16" t="str">
        <f t="shared" ca="1" si="6"/>
        <v/>
      </c>
      <c r="J35" s="16" t="str">
        <f t="shared" si="7"/>
        <v/>
      </c>
      <c r="K35" s="16" t="str">
        <f t="shared" si="8"/>
        <v/>
      </c>
      <c r="L35" s="16"/>
    </row>
    <row r="36" spans="1:12" ht="14.5" x14ac:dyDescent="0.35">
      <c r="A36" s="16"/>
      <c r="B36" s="16"/>
      <c r="C36" s="16"/>
      <c r="D36" s="16"/>
      <c r="E36" s="22" t="str">
        <f ca="1">IFERROR(__xludf.dummyfunction("iferror(1000+INT(($N$2-(index(split(D36,"":""),1)*60+index(split(D36,"":""),2 )))/0.2+1)*$N$3,"""")"),"")</f>
        <v/>
      </c>
      <c r="F36" s="16" t="str">
        <f t="shared" ca="1" si="5"/>
        <v/>
      </c>
      <c r="G36" s="16"/>
      <c r="H36" s="22" t="str">
        <f ca="1">IFERROR(__xludf.dummyfunction("iferror(1000+INT(($N$4-(index(split(G36,"":""),1)*60+index(split(G36,"":""),2 )))/0.2+1)*$N$5,"""")"),"")</f>
        <v/>
      </c>
      <c r="I36" s="16" t="str">
        <f t="shared" ca="1" si="6"/>
        <v/>
      </c>
      <c r="J36" s="16" t="str">
        <f t="shared" si="7"/>
        <v/>
      </c>
      <c r="K36" s="16" t="str">
        <f t="shared" si="8"/>
        <v/>
      </c>
      <c r="L36" s="16"/>
    </row>
    <row r="37" spans="1:12" ht="14.5" x14ac:dyDescent="0.35">
      <c r="A37" s="16"/>
      <c r="B37" s="16"/>
      <c r="C37" s="16"/>
      <c r="D37" s="16"/>
      <c r="E37" s="22" t="str">
        <f ca="1">IFERROR(__xludf.dummyfunction("iferror(1000+INT(($N$2-(index(split(D37,"":""),1)*60+index(split(D37,"":""),2 )))/0.2+1)*$N$3,"""")"),"")</f>
        <v/>
      </c>
      <c r="F37" s="16" t="str">
        <f t="shared" ca="1" si="5"/>
        <v/>
      </c>
      <c r="G37" s="16"/>
      <c r="H37" s="22" t="str">
        <f ca="1">IFERROR(__xludf.dummyfunction("iferror(1000+INT(($N$4-(index(split(G37,"":""),1)*60+index(split(G37,"":""),2 )))/0.2+1)*$N$5,"""")"),"")</f>
        <v/>
      </c>
      <c r="I37" s="16" t="str">
        <f t="shared" ca="1" si="6"/>
        <v/>
      </c>
      <c r="J37" s="16" t="str">
        <f t="shared" si="7"/>
        <v/>
      </c>
      <c r="K37" s="16" t="str">
        <f t="shared" si="8"/>
        <v/>
      </c>
      <c r="L37" s="16"/>
    </row>
    <row r="38" spans="1:12" ht="14.5" x14ac:dyDescent="0.35">
      <c r="A38" s="16"/>
      <c r="B38" s="16"/>
      <c r="C38" s="16"/>
      <c r="D38" s="16"/>
      <c r="E38" s="22" t="str">
        <f ca="1">IFERROR(__xludf.dummyfunction("iferror(1000+INT(($N$2-(index(split(D38,"":""),1)*60+index(split(D38,"":""),2 )))/0.2+1)*$N$3,"""")"),"")</f>
        <v/>
      </c>
      <c r="F38" s="16" t="str">
        <f t="shared" ca="1" si="5"/>
        <v/>
      </c>
      <c r="G38" s="16"/>
      <c r="H38" s="22" t="str">
        <f ca="1">IFERROR(__xludf.dummyfunction("iferror(1000+INT(($N$4-(index(split(G38,"":""),1)*60+index(split(G38,"":""),2 )))/0.2+1)*$N$5,"""")"),"")</f>
        <v/>
      </c>
      <c r="I38" s="16" t="str">
        <f t="shared" ca="1" si="6"/>
        <v/>
      </c>
      <c r="J38" s="16" t="str">
        <f t="shared" si="7"/>
        <v/>
      </c>
      <c r="K38" s="16" t="str">
        <f t="shared" si="8"/>
        <v/>
      </c>
      <c r="L38" s="16"/>
    </row>
    <row r="39" spans="1:12" ht="14.5" x14ac:dyDescent="0.35">
      <c r="A39" s="16"/>
      <c r="B39" s="16"/>
      <c r="C39" s="16"/>
      <c r="D39" s="16"/>
      <c r="E39" s="22" t="str">
        <f ca="1">IFERROR(__xludf.dummyfunction("iferror(1000+INT(($N$2-(index(split(D39,"":""),1)*60+index(split(D39,"":""),2 )))/0.2+1)*$N$3,"""")"),"")</f>
        <v/>
      </c>
      <c r="F39" s="16" t="str">
        <f t="shared" ca="1" si="5"/>
        <v/>
      </c>
      <c r="G39" s="16"/>
      <c r="H39" s="22" t="str">
        <f ca="1">IFERROR(__xludf.dummyfunction("iferror(1000+INT(($N$4-(index(split(G39,"":""),1)*60+index(split(G39,"":""),2 )))/0.2+1)*$N$5,"""")"),"")</f>
        <v/>
      </c>
      <c r="I39" s="16" t="str">
        <f t="shared" ca="1" si="6"/>
        <v/>
      </c>
      <c r="J39" s="16" t="str">
        <f t="shared" si="7"/>
        <v/>
      </c>
      <c r="K39" s="16" t="str">
        <f t="shared" si="8"/>
        <v/>
      </c>
      <c r="L39" s="16"/>
    </row>
    <row r="40" spans="1:12" ht="14.5" x14ac:dyDescent="0.35">
      <c r="A40" s="16"/>
      <c r="B40" s="16"/>
      <c r="C40" s="16"/>
      <c r="D40" s="16"/>
      <c r="E40" s="22" t="str">
        <f ca="1">IFERROR(__xludf.dummyfunction("iferror(1000+INT(($N$2-(index(split(D40,"":""),1)*60+index(split(D40,"":""),2 )))/0.2+1)*$N$3,"""")"),"")</f>
        <v/>
      </c>
      <c r="F40" s="16" t="str">
        <f t="shared" ca="1" si="5"/>
        <v/>
      </c>
      <c r="G40" s="16"/>
      <c r="H40" s="22" t="str">
        <f ca="1">IFERROR(__xludf.dummyfunction("iferror(1000+INT(($N$4-(index(split(G40,"":""),1)*60+index(split(G40,"":""),2 )))/0.2+1)*$N$5,"""")"),"")</f>
        <v/>
      </c>
      <c r="I40" s="16" t="str">
        <f t="shared" ca="1" si="6"/>
        <v/>
      </c>
      <c r="J40" s="16" t="str">
        <f t="shared" si="7"/>
        <v/>
      </c>
      <c r="K40" s="16" t="str">
        <f t="shared" si="8"/>
        <v/>
      </c>
      <c r="L40" s="16"/>
    </row>
    <row r="41" spans="1:12" ht="14.5" x14ac:dyDescent="0.35">
      <c r="A41" s="16"/>
      <c r="B41" s="16"/>
      <c r="C41" s="16"/>
      <c r="D41" s="16"/>
      <c r="E41" s="22" t="str">
        <f ca="1">IFERROR(__xludf.dummyfunction("iferror(1000+INT(($N$2-(index(split(D41,"":""),1)*60+index(split(D41,"":""),2 )))/0.2+1)*$N$3,"""")"),"")</f>
        <v/>
      </c>
      <c r="F41" s="16" t="str">
        <f t="shared" ca="1" si="5"/>
        <v/>
      </c>
      <c r="G41" s="16"/>
      <c r="H41" s="22" t="str">
        <f ca="1">IFERROR(__xludf.dummyfunction("iferror(1000+INT(($N$4-(index(split(G41,"":""),1)*60+index(split(G41,"":""),2 )))/0.2+1)*$N$5,"""")"),"")</f>
        <v/>
      </c>
      <c r="I41" s="16" t="str">
        <f t="shared" ca="1" si="6"/>
        <v/>
      </c>
      <c r="J41" s="16" t="str">
        <f t="shared" si="7"/>
        <v/>
      </c>
      <c r="K41" s="16" t="str">
        <f t="shared" si="8"/>
        <v/>
      </c>
      <c r="L41" s="16"/>
    </row>
    <row r="42" spans="1:12" ht="14.5" x14ac:dyDescent="0.35">
      <c r="A42" s="16"/>
      <c r="B42" s="16"/>
      <c r="C42" s="16"/>
      <c r="D42" s="16"/>
      <c r="E42" s="22" t="str">
        <f ca="1">IFERROR(__xludf.dummyfunction("iferror(1000+INT(($N$2-(index(split(D42,"":""),1)*60+index(split(D42,"":""),2 )))/0.2+1)*$N$3,"""")"),"")</f>
        <v/>
      </c>
      <c r="F42" s="16" t="str">
        <f t="shared" ca="1" si="5"/>
        <v/>
      </c>
      <c r="G42" s="16"/>
      <c r="H42" s="22" t="str">
        <f ca="1">IFERROR(__xludf.dummyfunction("iferror(1000+INT(($N$4-(index(split(G42,"":""),1)*60+index(split(G42,"":""),2 )))/0.2+1)*$N$5,"""")"),"")</f>
        <v/>
      </c>
      <c r="I42" s="16" t="str">
        <f t="shared" ca="1" si="6"/>
        <v/>
      </c>
      <c r="J42" s="16" t="str">
        <f t="shared" si="7"/>
        <v/>
      </c>
      <c r="K42" s="16" t="str">
        <f t="shared" si="8"/>
        <v/>
      </c>
      <c r="L42" s="16"/>
    </row>
    <row r="43" spans="1:12" ht="14.5" x14ac:dyDescent="0.35">
      <c r="A43" s="16"/>
      <c r="B43" s="16"/>
      <c r="C43" s="16"/>
      <c r="D43" s="16"/>
      <c r="E43" s="22" t="str">
        <f ca="1">IFERROR(__xludf.dummyfunction("iferror(1000+INT(($N$2-(index(split(D43,"":""),1)*60+index(split(D43,"":""),2 )))/0.2+1)*$N$3,"""")"),"")</f>
        <v/>
      </c>
      <c r="F43" s="16" t="str">
        <f t="shared" ca="1" si="5"/>
        <v/>
      </c>
      <c r="G43" s="16"/>
      <c r="H43" s="22" t="str">
        <f ca="1">IFERROR(__xludf.dummyfunction("iferror(1000+INT(($N$4-(index(split(G43,"":""),1)*60+index(split(G43,"":""),2 )))/0.2+1)*$N$5,"""")"),"")</f>
        <v/>
      </c>
      <c r="I43" s="16" t="str">
        <f t="shared" ca="1" si="6"/>
        <v/>
      </c>
      <c r="J43" s="16" t="str">
        <f t="shared" si="7"/>
        <v/>
      </c>
      <c r="K43" s="16" t="str">
        <f t="shared" si="8"/>
        <v/>
      </c>
      <c r="L43" s="16"/>
    </row>
    <row r="44" spans="1:12" ht="14.5" x14ac:dyDescent="0.35">
      <c r="A44" s="16"/>
      <c r="B44" s="16"/>
      <c r="C44" s="16"/>
      <c r="D44" s="16"/>
      <c r="E44" s="22" t="str">
        <f ca="1">IFERROR(__xludf.dummyfunction("iferror(1000+INT(($N$2-(index(split(D44,"":""),1)*60+index(split(D44,"":""),2 )))/0.2+1)*$N$3,"""")"),"")</f>
        <v/>
      </c>
      <c r="F44" s="16" t="str">
        <f t="shared" ca="1" si="5"/>
        <v/>
      </c>
      <c r="G44" s="16"/>
      <c r="H44" s="22" t="str">
        <f ca="1">IFERROR(__xludf.dummyfunction("iferror(1000+INT(($N$4-(index(split(G44,"":""),1)*60+index(split(G44,"":""),2 )))/0.2+1)*$N$5,"""")"),"")</f>
        <v/>
      </c>
      <c r="I44" s="16" t="str">
        <f t="shared" ca="1" si="6"/>
        <v/>
      </c>
      <c r="J44" s="16" t="str">
        <f t="shared" si="7"/>
        <v/>
      </c>
      <c r="K44" s="16" t="str">
        <f t="shared" si="8"/>
        <v/>
      </c>
      <c r="L44" s="16"/>
    </row>
    <row r="45" spans="1:12" ht="14.5" x14ac:dyDescent="0.35">
      <c r="A45" s="16"/>
      <c r="B45" s="16"/>
      <c r="C45" s="16"/>
      <c r="D45" s="16"/>
      <c r="E45" s="22" t="str">
        <f ca="1">IFERROR(__xludf.dummyfunction("iferror(1000+INT(($N$2-(index(split(D45,"":""),1)*60+index(split(D45,"":""),2 )))/0.2+1)*$N$3,"""")"),"")</f>
        <v/>
      </c>
      <c r="F45" s="16" t="str">
        <f t="shared" ca="1" si="5"/>
        <v/>
      </c>
      <c r="G45" s="16"/>
      <c r="H45" s="22" t="str">
        <f ca="1">IFERROR(__xludf.dummyfunction("iferror(1000+INT(($N$4-(index(split(G45,"":""),1)*60+index(split(G45,"":""),2 )))/0.2+1)*$N$5,"""")"),"")</f>
        <v/>
      </c>
      <c r="I45" s="16" t="str">
        <f t="shared" ca="1" si="6"/>
        <v/>
      </c>
      <c r="J45" s="16" t="str">
        <f t="shared" si="7"/>
        <v/>
      </c>
      <c r="K45" s="16" t="str">
        <f t="shared" si="8"/>
        <v/>
      </c>
      <c r="L45" s="16"/>
    </row>
    <row r="46" spans="1:12" ht="14.5" x14ac:dyDescent="0.35">
      <c r="A46" s="16"/>
      <c r="B46" s="16"/>
      <c r="C46" s="16"/>
      <c r="D46" s="16"/>
      <c r="E46" s="22" t="str">
        <f ca="1">IFERROR(__xludf.dummyfunction("iferror(1000+INT(($N$2-(index(split(D46,"":""),1)*60+index(split(D46,"":""),2 )))/0.2+1)*$N$3,"""")"),"")</f>
        <v/>
      </c>
      <c r="F46" s="16" t="str">
        <f t="shared" ca="1" si="5"/>
        <v/>
      </c>
      <c r="G46" s="16"/>
      <c r="H46" s="22" t="str">
        <f ca="1">IFERROR(__xludf.dummyfunction("iferror(1000+INT(($N$4-(index(split(G46,"":""),1)*60+index(split(G46,"":""),2 )))/0.2+1)*$N$5,"""")"),"")</f>
        <v/>
      </c>
      <c r="I46" s="16" t="str">
        <f t="shared" ca="1" si="6"/>
        <v/>
      </c>
      <c r="J46" s="16" t="str">
        <f t="shared" si="7"/>
        <v/>
      </c>
      <c r="K46" s="16" t="str">
        <f t="shared" si="8"/>
        <v/>
      </c>
      <c r="L46" s="16"/>
    </row>
    <row r="47" spans="1:12" ht="14.5" x14ac:dyDescent="0.35">
      <c r="A47" s="16"/>
      <c r="B47" s="16"/>
      <c r="C47" s="16"/>
      <c r="D47" s="16"/>
      <c r="E47" s="22" t="str">
        <f ca="1">IFERROR(__xludf.dummyfunction("iferror(1000+INT(($N$2-(index(split(D47,"":""),1)*60+index(split(D47,"":""),2 )))/0.2+1)*$N$3,"""")"),"")</f>
        <v/>
      </c>
      <c r="F47" s="16" t="str">
        <f t="shared" ca="1" si="5"/>
        <v/>
      </c>
      <c r="G47" s="16"/>
      <c r="H47" s="22" t="str">
        <f ca="1">IFERROR(__xludf.dummyfunction("iferror(1000+INT(($N$4-(index(split(G47,"":""),1)*60+index(split(G47,"":""),2 )))/0.2+1)*$N$5,"""")"),"")</f>
        <v/>
      </c>
      <c r="I47" s="16" t="str">
        <f t="shared" ca="1" si="6"/>
        <v/>
      </c>
      <c r="J47" s="16" t="str">
        <f t="shared" si="7"/>
        <v/>
      </c>
      <c r="K47" s="16" t="str">
        <f t="shared" si="8"/>
        <v/>
      </c>
      <c r="L47" s="16"/>
    </row>
    <row r="48" spans="1:12" ht="14.5" x14ac:dyDescent="0.35">
      <c r="A48" s="16"/>
      <c r="B48" s="16"/>
      <c r="C48" s="16"/>
      <c r="D48" s="16"/>
      <c r="E48" s="22" t="str">
        <f ca="1">IFERROR(__xludf.dummyfunction("iferror(1000+INT(($N$2-(index(split(D48,"":""),1)*60+index(split(D48,"":""),2 )))/0.2+1)*$N$3,"""")"),"")</f>
        <v/>
      </c>
      <c r="F48" s="16" t="str">
        <f t="shared" ca="1" si="5"/>
        <v/>
      </c>
      <c r="G48" s="16"/>
      <c r="H48" s="22" t="str">
        <f ca="1">IFERROR(__xludf.dummyfunction("iferror(1000+INT(($N$4-(index(split(G48,"":""),1)*60+index(split(G48,"":""),2 )))/0.2+1)*$N$5,"""")"),"")</f>
        <v/>
      </c>
      <c r="I48" s="16" t="str">
        <f t="shared" ca="1" si="6"/>
        <v/>
      </c>
      <c r="J48" s="16" t="str">
        <f t="shared" si="7"/>
        <v/>
      </c>
      <c r="K48" s="16" t="str">
        <f t="shared" si="8"/>
        <v/>
      </c>
      <c r="L48" s="16"/>
    </row>
    <row r="49" spans="1:12" ht="14.5" x14ac:dyDescent="0.35">
      <c r="A49" s="16"/>
      <c r="B49" s="16"/>
      <c r="C49" s="16"/>
      <c r="D49" s="16"/>
      <c r="E49" s="22" t="str">
        <f ca="1">IFERROR(__xludf.dummyfunction("iferror(1000+INT(($N$2-(index(split(D49,"":""),1)*60+index(split(D49,"":""),2 )))/0.2+1)*$N$3,"""")"),"")</f>
        <v/>
      </c>
      <c r="F49" s="16" t="str">
        <f t="shared" ca="1" si="5"/>
        <v/>
      </c>
      <c r="G49" s="16"/>
      <c r="H49" s="22" t="str">
        <f ca="1">IFERROR(__xludf.dummyfunction("iferror(1000+INT(($N$4-(index(split(G49,"":""),1)*60+index(split(G49,"":""),2 )))/0.2+1)*$N$5,"""")"),"")</f>
        <v/>
      </c>
      <c r="I49" s="16" t="str">
        <f t="shared" ca="1" si="6"/>
        <v/>
      </c>
      <c r="J49" s="16" t="str">
        <f t="shared" si="7"/>
        <v/>
      </c>
      <c r="K49" s="16" t="str">
        <f t="shared" si="8"/>
        <v/>
      </c>
      <c r="L49" s="16"/>
    </row>
    <row r="50" spans="1:12" ht="14.5" x14ac:dyDescent="0.35">
      <c r="A50" s="16"/>
      <c r="B50" s="16"/>
      <c r="C50" s="16"/>
      <c r="D50" s="16"/>
      <c r="E50" s="22" t="str">
        <f ca="1">IFERROR(__xludf.dummyfunction("iferror(1000+INT(($N$2-(index(split(D50,"":""),1)*60+index(split(D50,"":""),2 )))/0.2+1)*$N$3,"""")"),"")</f>
        <v/>
      </c>
      <c r="F50" s="16" t="str">
        <f t="shared" ca="1" si="5"/>
        <v/>
      </c>
      <c r="G50" s="16"/>
      <c r="H50" s="22" t="str">
        <f ca="1">IFERROR(__xludf.dummyfunction("iferror(1000+INT(($N$4-(index(split(G50,"":""),1)*60+index(split(G50,"":""),2 )))/0.2+1)*$N$5,"""")"),"")</f>
        <v/>
      </c>
      <c r="I50" s="16" t="str">
        <f t="shared" ca="1" si="6"/>
        <v/>
      </c>
      <c r="J50" s="16" t="str">
        <f t="shared" si="7"/>
        <v/>
      </c>
      <c r="K50" s="16" t="str">
        <f t="shared" si="8"/>
        <v/>
      </c>
      <c r="L50" s="16"/>
    </row>
    <row r="51" spans="1:12" ht="14.5" x14ac:dyDescent="0.35">
      <c r="A51" s="16"/>
      <c r="B51" s="16"/>
      <c r="C51" s="16"/>
      <c r="D51" s="16"/>
      <c r="E51" s="22" t="str">
        <f ca="1">IFERROR(__xludf.dummyfunction("iferror(1000+INT(($N$2-(index(split(D51,"":""),1)*60+index(split(D51,"":""),2 )))/0.2+1)*$N$3,"""")"),"")</f>
        <v/>
      </c>
      <c r="F51" s="16" t="str">
        <f t="shared" ca="1" si="5"/>
        <v/>
      </c>
      <c r="G51" s="16"/>
      <c r="H51" s="22" t="str">
        <f ca="1">IFERROR(__xludf.dummyfunction("iferror(1000+INT(($N$4-(index(split(G51,"":""),1)*60+index(split(G51,"":""),2 )))/0.2+1)*$N$5,"""")"),"")</f>
        <v/>
      </c>
      <c r="I51" s="16" t="str">
        <f t="shared" ca="1" si="6"/>
        <v/>
      </c>
      <c r="J51" s="16" t="str">
        <f t="shared" si="7"/>
        <v/>
      </c>
      <c r="K51" s="16" t="str">
        <f t="shared" si="8"/>
        <v/>
      </c>
      <c r="L51" s="16"/>
    </row>
    <row r="52" spans="1:12" ht="14.5" x14ac:dyDescent="0.35">
      <c r="A52" s="16"/>
      <c r="B52" s="16"/>
      <c r="C52" s="16"/>
      <c r="D52" s="16"/>
      <c r="E52" s="22" t="str">
        <f ca="1">IFERROR(__xludf.dummyfunction("iferror(1000+INT(($N$2-(index(split(D52,"":""),1)*60+index(split(D52,"":""),2 )))/0.2+1)*$N$3,"""")"),"")</f>
        <v/>
      </c>
      <c r="F52" s="16" t="str">
        <f t="shared" ca="1" si="5"/>
        <v/>
      </c>
      <c r="G52" s="16"/>
      <c r="H52" s="22" t="str">
        <f ca="1">IFERROR(__xludf.dummyfunction("iferror(1000+INT(($N$4-(index(split(G52,"":""),1)*60+index(split(G52,"":""),2 )))/0.2+1)*$N$5,"""")"),"")</f>
        <v/>
      </c>
      <c r="I52" s="16" t="str">
        <f t="shared" ca="1" si="6"/>
        <v/>
      </c>
      <c r="J52" s="16" t="str">
        <f t="shared" si="7"/>
        <v/>
      </c>
      <c r="K52" s="16" t="str">
        <f t="shared" si="8"/>
        <v/>
      </c>
      <c r="L52" s="16"/>
    </row>
    <row r="53" spans="1:12" ht="14.5" x14ac:dyDescent="0.35">
      <c r="A53" s="16"/>
      <c r="B53" s="16"/>
      <c r="C53" s="16"/>
      <c r="D53" s="16"/>
      <c r="E53" s="22" t="str">
        <f ca="1">IFERROR(__xludf.dummyfunction("iferror(1000+INT(($N$2-(index(split(D53,"":""),1)*60+index(split(D53,"":""),2 )))/0.2+1)*$N$3,"""")"),"")</f>
        <v/>
      </c>
      <c r="F53" s="16" t="str">
        <f t="shared" ca="1" si="5"/>
        <v/>
      </c>
      <c r="G53" s="16"/>
      <c r="H53" s="22" t="str">
        <f ca="1">IFERROR(__xludf.dummyfunction("iferror(1000+INT(($N$4-(index(split(G53,"":""),1)*60+index(split(G53,"":""),2 )))/0.2+1)*$N$5,"""")"),"")</f>
        <v/>
      </c>
      <c r="I53" s="16" t="str">
        <f t="shared" ca="1" si="6"/>
        <v/>
      </c>
      <c r="J53" s="16" t="str">
        <f t="shared" si="7"/>
        <v/>
      </c>
      <c r="K53" s="16" t="str">
        <f t="shared" si="8"/>
        <v/>
      </c>
      <c r="L53" s="16"/>
    </row>
    <row r="54" spans="1:12" ht="14.5" x14ac:dyDescent="0.35">
      <c r="A54" s="16"/>
      <c r="B54" s="16"/>
      <c r="C54" s="16"/>
      <c r="D54" s="16"/>
      <c r="E54" s="22" t="str">
        <f ca="1">IFERROR(__xludf.dummyfunction("iferror(1000+INT(($N$2-(index(split(D54,"":""),1)*60+index(split(D54,"":""),2 )))/0.2+1)*$N$3,"""")"),"")</f>
        <v/>
      </c>
      <c r="F54" s="16" t="str">
        <f t="shared" ca="1" si="5"/>
        <v/>
      </c>
      <c r="G54" s="16"/>
      <c r="H54" s="22" t="str">
        <f ca="1">IFERROR(__xludf.dummyfunction("iferror(1000+INT(($N$4-(index(split(G54,"":""),1)*60+index(split(G54,"":""),2 )))/0.2+1)*$N$5,"""")"),"")</f>
        <v/>
      </c>
      <c r="I54" s="16" t="str">
        <f t="shared" ca="1" si="6"/>
        <v/>
      </c>
      <c r="J54" s="16" t="str">
        <f t="shared" si="7"/>
        <v/>
      </c>
      <c r="K54" s="16" t="str">
        <f t="shared" si="8"/>
        <v/>
      </c>
      <c r="L54" s="16"/>
    </row>
    <row r="55" spans="1:12" ht="14.5" x14ac:dyDescent="0.35">
      <c r="A55" s="16"/>
      <c r="B55" s="16"/>
      <c r="C55" s="16"/>
      <c r="D55" s="16"/>
      <c r="E55" s="22" t="str">
        <f ca="1">IFERROR(__xludf.dummyfunction("iferror(1000+INT(($N$2-(index(split(D55,"":""),1)*60+index(split(D55,"":""),2 )))/0.2+1)*$N$3,"""")"),"")</f>
        <v/>
      </c>
      <c r="F55" s="16" t="str">
        <f t="shared" ca="1" si="5"/>
        <v/>
      </c>
      <c r="G55" s="16"/>
      <c r="H55" s="22" t="str">
        <f ca="1">IFERROR(__xludf.dummyfunction("iferror(1000+INT(($N$4-(index(split(G55,"":""),1)*60+index(split(G55,"":""),2 )))/0.2+1)*$N$5,"""")"),"")</f>
        <v/>
      </c>
      <c r="I55" s="16" t="str">
        <f t="shared" ca="1" si="6"/>
        <v/>
      </c>
      <c r="J55" s="16" t="str">
        <f t="shared" si="7"/>
        <v/>
      </c>
      <c r="K55" s="16" t="str">
        <f t="shared" si="8"/>
        <v/>
      </c>
      <c r="L55" s="16"/>
    </row>
    <row r="56" spans="1:12" ht="14.5" x14ac:dyDescent="0.35">
      <c r="A56" s="16"/>
      <c r="B56" s="16"/>
      <c r="C56" s="16"/>
      <c r="D56" s="16"/>
      <c r="E56" s="22" t="str">
        <f ca="1">IFERROR(__xludf.dummyfunction("iferror(1000+INT(($N$2-(index(split(D56,"":""),1)*60+index(split(D56,"":""),2 )))/0.2+1)*$N$3,"""")"),"")</f>
        <v/>
      </c>
      <c r="F56" s="16" t="str">
        <f t="shared" ca="1" si="5"/>
        <v/>
      </c>
      <c r="G56" s="16"/>
      <c r="H56" s="22" t="str">
        <f ca="1">IFERROR(__xludf.dummyfunction("iferror(1000+INT(($N$4-(index(split(G56,"":""),1)*60+index(split(G56,"":""),2 )))/0.2+1)*$N$5,"""")"),"")</f>
        <v/>
      </c>
      <c r="I56" s="16" t="str">
        <f t="shared" ca="1" si="6"/>
        <v/>
      </c>
      <c r="J56" s="16" t="str">
        <f t="shared" si="7"/>
        <v/>
      </c>
      <c r="K56" s="16" t="str">
        <f t="shared" si="8"/>
        <v/>
      </c>
      <c r="L56" s="16"/>
    </row>
    <row r="57" spans="1:12" ht="14.5" x14ac:dyDescent="0.35">
      <c r="A57" s="16"/>
      <c r="B57" s="16"/>
      <c r="C57" s="16"/>
      <c r="D57" s="16"/>
      <c r="E57" s="22" t="str">
        <f ca="1">IFERROR(__xludf.dummyfunction("iferror(1000+INT(($N$2-(index(split(D57,"":""),1)*60+index(split(D57,"":""),2 )))/0.2+1)*$N$3,"""")"),"")</f>
        <v/>
      </c>
      <c r="F57" s="16" t="str">
        <f t="shared" ca="1" si="5"/>
        <v/>
      </c>
      <c r="G57" s="16"/>
      <c r="H57" s="22" t="str">
        <f ca="1">IFERROR(__xludf.dummyfunction("iferror(1000+INT(($N$4-(index(split(G57,"":""),1)*60+index(split(G57,"":""),2 )))/0.2+1)*$N$5,"""")"),"")</f>
        <v/>
      </c>
      <c r="I57" s="16" t="str">
        <f t="shared" ca="1" si="6"/>
        <v/>
      </c>
      <c r="J57" s="16" t="str">
        <f t="shared" si="7"/>
        <v/>
      </c>
      <c r="K57" s="16" t="str">
        <f t="shared" si="8"/>
        <v/>
      </c>
      <c r="L57" s="16"/>
    </row>
    <row r="58" spans="1:12" ht="14.5" x14ac:dyDescent="0.35">
      <c r="A58" s="16"/>
      <c r="B58" s="16"/>
      <c r="C58" s="16"/>
      <c r="D58" s="16"/>
      <c r="E58" s="22" t="str">
        <f ca="1">IFERROR(__xludf.dummyfunction("iferror(1000+INT(($N$2-(index(split(D58,"":""),1)*60+index(split(D58,"":""),2 )))/0.2+1)*$N$3,"""")"),"")</f>
        <v/>
      </c>
      <c r="F58" s="16" t="str">
        <f t="shared" ca="1" si="5"/>
        <v/>
      </c>
      <c r="G58" s="16"/>
      <c r="H58" s="22" t="str">
        <f ca="1">IFERROR(__xludf.dummyfunction("iferror(1000+INT(($N$4-(index(split(G58,"":""),1)*60+index(split(G58,"":""),2 )))/0.2+1)*$N$5,"""")"),"")</f>
        <v/>
      </c>
      <c r="I58" s="16" t="str">
        <f t="shared" ca="1" si="6"/>
        <v/>
      </c>
      <c r="J58" s="16" t="str">
        <f t="shared" si="7"/>
        <v/>
      </c>
      <c r="K58" s="16" t="str">
        <f t="shared" si="8"/>
        <v/>
      </c>
      <c r="L58" s="16"/>
    </row>
    <row r="59" spans="1:12" ht="14.5" x14ac:dyDescent="0.35">
      <c r="A59" s="16"/>
      <c r="B59" s="16"/>
      <c r="C59" s="16"/>
      <c r="D59" s="16"/>
      <c r="E59" s="22" t="str">
        <f ca="1">IFERROR(__xludf.dummyfunction("iferror(1000+INT(($N$2-(index(split(D59,"":""),1)*60+index(split(D59,"":""),2 )))/0.2+1)*$N$3,"""")"),"")</f>
        <v/>
      </c>
      <c r="F59" s="16" t="str">
        <f t="shared" ca="1" si="5"/>
        <v/>
      </c>
      <c r="G59" s="16"/>
      <c r="H59" s="22" t="str">
        <f ca="1">IFERROR(__xludf.dummyfunction("iferror(1000+INT(($N$4-(index(split(G59,"":""),1)*60+index(split(G59,"":""),2 )))/0.2+1)*$N$5,"""")"),"")</f>
        <v/>
      </c>
      <c r="I59" s="16" t="str">
        <f t="shared" ca="1" si="6"/>
        <v/>
      </c>
      <c r="J59" s="16" t="str">
        <f t="shared" si="7"/>
        <v/>
      </c>
      <c r="K59" s="16" t="str">
        <f t="shared" si="8"/>
        <v/>
      </c>
      <c r="L59" s="16"/>
    </row>
    <row r="60" spans="1:12" ht="14.5" x14ac:dyDescent="0.35">
      <c r="A60" s="16"/>
      <c r="B60" s="16"/>
      <c r="C60" s="16"/>
      <c r="D60" s="16"/>
      <c r="E60" s="22" t="str">
        <f ca="1">IFERROR(__xludf.dummyfunction("iferror(1000+INT(($N$2-(index(split(D60,"":""),1)*60+index(split(D60,"":""),2 )))/0.2+1)*$N$3,"""")"),"")</f>
        <v/>
      </c>
      <c r="F60" s="16" t="str">
        <f t="shared" ca="1" si="5"/>
        <v/>
      </c>
      <c r="G60" s="16"/>
      <c r="H60" s="22" t="str">
        <f ca="1">IFERROR(__xludf.dummyfunction("iferror(1000+INT(($N$4-(index(split(G60,"":""),1)*60+index(split(G60,"":""),2 )))/0.2+1)*$N$5,"""")"),"")</f>
        <v/>
      </c>
      <c r="I60" s="16" t="str">
        <f t="shared" ca="1" si="6"/>
        <v/>
      </c>
      <c r="J60" s="16" t="str">
        <f t="shared" si="7"/>
        <v/>
      </c>
      <c r="K60" s="16" t="str">
        <f t="shared" si="8"/>
        <v/>
      </c>
      <c r="L60" s="16"/>
    </row>
    <row r="61" spans="1:12" ht="14.5" x14ac:dyDescent="0.35">
      <c r="A61" s="16"/>
      <c r="B61" s="16"/>
      <c r="C61" s="16"/>
      <c r="D61" s="16"/>
      <c r="E61" s="22" t="str">
        <f ca="1">IFERROR(__xludf.dummyfunction("iferror(1000+INT(($N$2-(index(split(D61,"":""),1)*60+index(split(D61,"":""),2 )))/0.2+1)*$N$3,"""")"),"")</f>
        <v/>
      </c>
      <c r="F61" s="16" t="str">
        <f t="shared" ca="1" si="5"/>
        <v/>
      </c>
      <c r="G61" s="16"/>
      <c r="H61" s="22" t="str">
        <f ca="1">IFERROR(__xludf.dummyfunction("iferror(1000+INT(($N$4-(index(split(G61,"":""),1)*60+index(split(G61,"":""),2 )))/0.2+1)*$N$5,"""")"),"")</f>
        <v/>
      </c>
      <c r="I61" s="16" t="str">
        <f t="shared" ca="1" si="6"/>
        <v/>
      </c>
      <c r="J61" s="16" t="str">
        <f t="shared" si="7"/>
        <v/>
      </c>
      <c r="K61" s="16" t="str">
        <f t="shared" si="8"/>
        <v/>
      </c>
      <c r="L61" s="16"/>
    </row>
    <row r="62" spans="1:12" ht="14.5" x14ac:dyDescent="0.35">
      <c r="A62" s="16"/>
      <c r="B62" s="16"/>
      <c r="C62" s="16"/>
      <c r="D62" s="16"/>
      <c r="E62" s="22" t="str">
        <f ca="1">IFERROR(__xludf.dummyfunction("iferror(1000+INT(($N$2-(index(split(D62,"":""),1)*60+index(split(D62,"":""),2 )))/0.2+1)*$N$3,"""")"),"")</f>
        <v/>
      </c>
      <c r="F62" s="16" t="str">
        <f t="shared" ca="1" si="5"/>
        <v/>
      </c>
      <c r="G62" s="16"/>
      <c r="H62" s="22" t="str">
        <f ca="1">IFERROR(__xludf.dummyfunction("iferror(1000+INT(($N$4-(index(split(G62,"":""),1)*60+index(split(G62,"":""),2 )))/0.2+1)*$N$5,"""")"),"")</f>
        <v/>
      </c>
      <c r="I62" s="16" t="str">
        <f t="shared" ca="1" si="6"/>
        <v/>
      </c>
      <c r="J62" s="16" t="str">
        <f t="shared" si="7"/>
        <v/>
      </c>
      <c r="K62" s="16" t="str">
        <f t="shared" si="8"/>
        <v/>
      </c>
      <c r="L62" s="16"/>
    </row>
    <row r="63" spans="1:12" ht="14.5" x14ac:dyDescent="0.35">
      <c r="A63" s="16"/>
      <c r="B63" s="16"/>
      <c r="C63" s="16"/>
      <c r="D63" s="16"/>
      <c r="E63" s="22" t="str">
        <f ca="1">IFERROR(__xludf.dummyfunction("iferror(1000+INT(($N$2-(index(split(D63,"":""),1)*60+index(split(D63,"":""),2 )))/0.2+1)*$N$3,"""")"),"")</f>
        <v/>
      </c>
      <c r="F63" s="16" t="str">
        <f t="shared" ca="1" si="5"/>
        <v/>
      </c>
      <c r="G63" s="16"/>
      <c r="H63" s="22" t="str">
        <f ca="1">IFERROR(__xludf.dummyfunction("iferror(1000+INT(($N$4-(index(split(G63,"":""),1)*60+index(split(G63,"":""),2 )))/0.2+1)*$N$5,"""")"),"")</f>
        <v/>
      </c>
      <c r="I63" s="16" t="str">
        <f t="shared" ca="1" si="6"/>
        <v/>
      </c>
      <c r="J63" s="16" t="str">
        <f t="shared" si="7"/>
        <v/>
      </c>
      <c r="K63" s="16" t="str">
        <f t="shared" si="8"/>
        <v/>
      </c>
      <c r="L63" s="16"/>
    </row>
    <row r="64" spans="1:12" ht="14.5" x14ac:dyDescent="0.35">
      <c r="A64" s="16"/>
      <c r="B64" s="16"/>
      <c r="C64" s="16"/>
      <c r="D64" s="16"/>
      <c r="E64" s="22" t="str">
        <f ca="1">IFERROR(__xludf.dummyfunction("iferror(1000+INT(($N$2-(index(split(D64,"":""),1)*60+index(split(D64,"":""),2 )))/0.2+1)*$N$3,"""")"),"")</f>
        <v/>
      </c>
      <c r="F64" s="16" t="str">
        <f t="shared" ca="1" si="5"/>
        <v/>
      </c>
      <c r="G64" s="16"/>
      <c r="H64" s="22" t="str">
        <f ca="1">IFERROR(__xludf.dummyfunction("iferror(1000+INT(($N$4-(index(split(G64,"":""),1)*60+index(split(G64,"":""),2 )))/0.2+1)*$N$5,"""")"),"")</f>
        <v/>
      </c>
      <c r="I64" s="16" t="str">
        <f t="shared" ca="1" si="6"/>
        <v/>
      </c>
      <c r="J64" s="16" t="str">
        <f t="shared" si="7"/>
        <v/>
      </c>
      <c r="K64" s="16" t="str">
        <f t="shared" si="8"/>
        <v/>
      </c>
      <c r="L64" s="16"/>
    </row>
    <row r="65" spans="1:12" ht="14.5" x14ac:dyDescent="0.35">
      <c r="A65" s="16"/>
      <c r="B65" s="16"/>
      <c r="C65" s="16"/>
      <c r="D65" s="16"/>
      <c r="E65" s="22" t="str">
        <f ca="1">IFERROR(__xludf.dummyfunction("iferror(1000+INT(($N$2-(index(split(D65,"":""),1)*60+index(split(D65,"":""),2 )))/0.2+1)*$N$3,"""")"),"")</f>
        <v/>
      </c>
      <c r="F65" s="16" t="str">
        <f t="shared" ca="1" si="5"/>
        <v/>
      </c>
      <c r="G65" s="16"/>
      <c r="H65" s="22" t="str">
        <f ca="1">IFERROR(__xludf.dummyfunction("iferror(1000+INT(($N$4-(index(split(G65,"":""),1)*60+index(split(G65,"":""),2 )))/0.2+1)*$N$5,"""")"),"")</f>
        <v/>
      </c>
      <c r="I65" s="16" t="str">
        <f t="shared" ca="1" si="6"/>
        <v/>
      </c>
      <c r="J65" s="16" t="str">
        <f t="shared" si="7"/>
        <v/>
      </c>
      <c r="K65" s="16" t="str">
        <f t="shared" si="8"/>
        <v/>
      </c>
      <c r="L65" s="16"/>
    </row>
    <row r="66" spans="1:12" ht="14.5" x14ac:dyDescent="0.35">
      <c r="A66" s="16"/>
      <c r="B66" s="16"/>
      <c r="C66" s="16"/>
      <c r="D66" s="16"/>
      <c r="E66" s="22" t="str">
        <f ca="1">IFERROR(__xludf.dummyfunction("iferror(1000+INT(($N$2-(index(split(D66,"":""),1)*60+index(split(D66,"":""),2 )))/0.2+1)*$N$3,"""")"),"")</f>
        <v/>
      </c>
      <c r="F66" s="16" t="str">
        <f t="shared" ref="F66:F97" ca="1" si="9">IFERROR(_xlfn.RANK.EQ(E66,E:E),"")</f>
        <v/>
      </c>
      <c r="G66" s="16"/>
      <c r="H66" s="22" t="str">
        <f ca="1">IFERROR(__xludf.dummyfunction("iferror(1000+INT(($N$4-(index(split(G66,"":""),1)*60+index(split(G66,"":""),2 )))/0.2+1)*$N$5,"""")"),"")</f>
        <v/>
      </c>
      <c r="I66" s="16" t="str">
        <f t="shared" ref="I66:I97" ca="1" si="10">IFERROR(_xlfn.RANK.EQ(H66,H:H),"")</f>
        <v/>
      </c>
      <c r="J66" s="16" t="str">
        <f t="shared" ref="J66:J100" si="11">IF(AND(D66="", G66=""), "", E66+H66)</f>
        <v/>
      </c>
      <c r="K66" s="16" t="str">
        <f t="shared" ref="K66:K97" si="12">IFERROR(_xlfn.RANK.EQ(J66,J:J),"")</f>
        <v/>
      </c>
      <c r="L66" s="16"/>
    </row>
    <row r="67" spans="1:12" ht="14.5" x14ac:dyDescent="0.35">
      <c r="A67" s="16"/>
      <c r="B67" s="16"/>
      <c r="C67" s="16"/>
      <c r="D67" s="16"/>
      <c r="E67" s="22" t="str">
        <f ca="1">IFERROR(__xludf.dummyfunction("iferror(1000+INT(($N$2-(index(split(D67,"":""),1)*60+index(split(D67,"":""),2 )))/0.2+1)*$N$3,"""")"),"")</f>
        <v/>
      </c>
      <c r="F67" s="16" t="str">
        <f t="shared" ca="1" si="9"/>
        <v/>
      </c>
      <c r="G67" s="16"/>
      <c r="H67" s="22" t="str">
        <f ca="1">IFERROR(__xludf.dummyfunction("iferror(1000+INT(($N$4-(index(split(G67,"":""),1)*60+index(split(G67,"":""),2 )))/0.2+1)*$N$5,"""")"),"")</f>
        <v/>
      </c>
      <c r="I67" s="16" t="str">
        <f t="shared" ca="1" si="10"/>
        <v/>
      </c>
      <c r="J67" s="16" t="str">
        <f t="shared" si="11"/>
        <v/>
      </c>
      <c r="K67" s="16" t="str">
        <f t="shared" si="12"/>
        <v/>
      </c>
      <c r="L67" s="16"/>
    </row>
    <row r="68" spans="1:12" ht="14.5" x14ac:dyDescent="0.35">
      <c r="A68" s="16"/>
      <c r="B68" s="16"/>
      <c r="C68" s="16"/>
      <c r="D68" s="16"/>
      <c r="E68" s="22" t="str">
        <f ca="1">IFERROR(__xludf.dummyfunction("iferror(1000+INT(($N$2-(index(split(D68,"":""),1)*60+index(split(D68,"":""),2 )))/0.2+1)*$N$3,"""")"),"")</f>
        <v/>
      </c>
      <c r="F68" s="16" t="str">
        <f t="shared" ca="1" si="9"/>
        <v/>
      </c>
      <c r="G68" s="16"/>
      <c r="H68" s="22" t="str">
        <f ca="1">IFERROR(__xludf.dummyfunction("iferror(1000+INT(($N$4-(index(split(G68,"":""),1)*60+index(split(G68,"":""),2 )))/0.2+1)*$N$5,"""")"),"")</f>
        <v/>
      </c>
      <c r="I68" s="16" t="str">
        <f t="shared" ca="1" si="10"/>
        <v/>
      </c>
      <c r="J68" s="16" t="str">
        <f t="shared" si="11"/>
        <v/>
      </c>
      <c r="K68" s="16" t="str">
        <f t="shared" si="12"/>
        <v/>
      </c>
      <c r="L68" s="16"/>
    </row>
    <row r="69" spans="1:12" ht="14.5" x14ac:dyDescent="0.35">
      <c r="A69" s="16"/>
      <c r="B69" s="16"/>
      <c r="C69" s="16"/>
      <c r="D69" s="16"/>
      <c r="E69" s="22" t="str">
        <f ca="1">IFERROR(__xludf.dummyfunction("iferror(1000+INT(($N$2-(index(split(D69,"":""),1)*60+index(split(D69,"":""),2 )))/0.2+1)*$N$3,"""")"),"")</f>
        <v/>
      </c>
      <c r="F69" s="16" t="str">
        <f t="shared" ca="1" si="9"/>
        <v/>
      </c>
      <c r="G69" s="16"/>
      <c r="H69" s="22" t="str">
        <f ca="1">IFERROR(__xludf.dummyfunction("iferror(1000+INT(($N$4-(index(split(G69,"":""),1)*60+index(split(G69,"":""),2 )))/0.2+1)*$N$5,"""")"),"")</f>
        <v/>
      </c>
      <c r="I69" s="16" t="str">
        <f t="shared" ca="1" si="10"/>
        <v/>
      </c>
      <c r="J69" s="16" t="str">
        <f t="shared" si="11"/>
        <v/>
      </c>
      <c r="K69" s="16" t="str">
        <f t="shared" si="12"/>
        <v/>
      </c>
      <c r="L69" s="16"/>
    </row>
    <row r="70" spans="1:12" ht="14.5" x14ac:dyDescent="0.35">
      <c r="A70" s="16"/>
      <c r="B70" s="16"/>
      <c r="C70" s="16"/>
      <c r="D70" s="16"/>
      <c r="E70" s="22" t="str">
        <f ca="1">IFERROR(__xludf.dummyfunction("iferror(1000+INT(($N$2-(index(split(D70,"":""),1)*60+index(split(D70,"":""),2 )))/0.2+1)*$N$3,"""")"),"")</f>
        <v/>
      </c>
      <c r="F70" s="16" t="str">
        <f t="shared" ca="1" si="9"/>
        <v/>
      </c>
      <c r="G70" s="16"/>
      <c r="H70" s="22" t="str">
        <f ca="1">IFERROR(__xludf.dummyfunction("iferror(1000+INT(($N$4-(index(split(G70,"":""),1)*60+index(split(G70,"":""),2 )))/0.2+1)*$N$5,"""")"),"")</f>
        <v/>
      </c>
      <c r="I70" s="16" t="str">
        <f t="shared" ca="1" si="10"/>
        <v/>
      </c>
      <c r="J70" s="16" t="str">
        <f t="shared" si="11"/>
        <v/>
      </c>
      <c r="K70" s="16" t="str">
        <f t="shared" si="12"/>
        <v/>
      </c>
      <c r="L70" s="16"/>
    </row>
    <row r="71" spans="1:12" ht="14.5" x14ac:dyDescent="0.35">
      <c r="A71" s="16"/>
      <c r="B71" s="16"/>
      <c r="C71" s="16"/>
      <c r="D71" s="16"/>
      <c r="E71" s="22" t="str">
        <f ca="1">IFERROR(__xludf.dummyfunction("iferror(1000+INT(($N$2-(index(split(D71,"":""),1)*60+index(split(D71,"":""),2 )))/0.2+1)*$N$3,"""")"),"")</f>
        <v/>
      </c>
      <c r="F71" s="16" t="str">
        <f t="shared" ca="1" si="9"/>
        <v/>
      </c>
      <c r="G71" s="16"/>
      <c r="H71" s="22" t="str">
        <f ca="1">IFERROR(__xludf.dummyfunction("iferror(1000+INT(($N$4-(index(split(G71,"":""),1)*60+index(split(G71,"":""),2 )))/0.2+1)*$N$5,"""")"),"")</f>
        <v/>
      </c>
      <c r="I71" s="16" t="str">
        <f t="shared" ca="1" si="10"/>
        <v/>
      </c>
      <c r="J71" s="16" t="str">
        <f t="shared" si="11"/>
        <v/>
      </c>
      <c r="K71" s="16" t="str">
        <f t="shared" si="12"/>
        <v/>
      </c>
      <c r="L71" s="16"/>
    </row>
    <row r="72" spans="1:12" ht="14.5" x14ac:dyDescent="0.35">
      <c r="A72" s="16"/>
      <c r="B72" s="16"/>
      <c r="C72" s="16"/>
      <c r="D72" s="16"/>
      <c r="E72" s="22" t="str">
        <f ca="1">IFERROR(__xludf.dummyfunction("iferror(1000+INT(($N$2-(index(split(D72,"":""),1)*60+index(split(D72,"":""),2 )))/0.2+1)*$N$3,"""")"),"")</f>
        <v/>
      </c>
      <c r="F72" s="16" t="str">
        <f t="shared" ca="1" si="9"/>
        <v/>
      </c>
      <c r="G72" s="16"/>
      <c r="H72" s="22" t="str">
        <f ca="1">IFERROR(__xludf.dummyfunction("iferror(1000+INT(($N$4-(index(split(G72,"":""),1)*60+index(split(G72,"":""),2 )))/0.2+1)*$N$5,"""")"),"")</f>
        <v/>
      </c>
      <c r="I72" s="16" t="str">
        <f t="shared" ca="1" si="10"/>
        <v/>
      </c>
      <c r="J72" s="16" t="str">
        <f t="shared" si="11"/>
        <v/>
      </c>
      <c r="K72" s="16" t="str">
        <f t="shared" si="12"/>
        <v/>
      </c>
      <c r="L72" s="16"/>
    </row>
    <row r="73" spans="1:12" ht="14.5" x14ac:dyDescent="0.35">
      <c r="A73" s="16"/>
      <c r="B73" s="16"/>
      <c r="C73" s="16"/>
      <c r="D73" s="16"/>
      <c r="E73" s="22" t="str">
        <f ca="1">IFERROR(__xludf.dummyfunction("iferror(1000+INT(($N$2-(index(split(D73,"":""),1)*60+index(split(D73,"":""),2 )))/0.2+1)*$N$3,"""")"),"")</f>
        <v/>
      </c>
      <c r="F73" s="16" t="str">
        <f t="shared" ca="1" si="9"/>
        <v/>
      </c>
      <c r="G73" s="16"/>
      <c r="H73" s="22" t="str">
        <f ca="1">IFERROR(__xludf.dummyfunction("iferror(1000+INT(($N$4-(index(split(G73,"":""),1)*60+index(split(G73,"":""),2 )))/0.2+1)*$N$5,"""")"),"")</f>
        <v/>
      </c>
      <c r="I73" s="16" t="str">
        <f t="shared" ca="1" si="10"/>
        <v/>
      </c>
      <c r="J73" s="16" t="str">
        <f t="shared" si="11"/>
        <v/>
      </c>
      <c r="K73" s="16" t="str">
        <f t="shared" si="12"/>
        <v/>
      </c>
      <c r="L73" s="16"/>
    </row>
    <row r="74" spans="1:12" ht="14.5" x14ac:dyDescent="0.35">
      <c r="A74" s="16"/>
      <c r="B74" s="16"/>
      <c r="C74" s="16"/>
      <c r="D74" s="16"/>
      <c r="E74" s="22" t="str">
        <f ca="1">IFERROR(__xludf.dummyfunction("iferror(1000+INT(($N$2-(index(split(D74,"":""),1)*60+index(split(D74,"":""),2 )))/0.2+1)*$N$3,"""")"),"")</f>
        <v/>
      </c>
      <c r="F74" s="16" t="str">
        <f t="shared" ca="1" si="9"/>
        <v/>
      </c>
      <c r="G74" s="16"/>
      <c r="H74" s="22" t="str">
        <f ca="1">IFERROR(__xludf.dummyfunction("iferror(1000+INT(($N$4-(index(split(G74,"":""),1)*60+index(split(G74,"":""),2 )))/0.2+1)*$N$5,"""")"),"")</f>
        <v/>
      </c>
      <c r="I74" s="16" t="str">
        <f t="shared" ca="1" si="10"/>
        <v/>
      </c>
      <c r="J74" s="16" t="str">
        <f t="shared" si="11"/>
        <v/>
      </c>
      <c r="K74" s="16" t="str">
        <f t="shared" si="12"/>
        <v/>
      </c>
      <c r="L74" s="16"/>
    </row>
    <row r="75" spans="1:12" ht="14.5" x14ac:dyDescent="0.35">
      <c r="A75" s="16"/>
      <c r="B75" s="16"/>
      <c r="C75" s="16"/>
      <c r="D75" s="16"/>
      <c r="E75" s="22" t="str">
        <f ca="1">IFERROR(__xludf.dummyfunction("iferror(1000+INT(($N$2-(index(split(D75,"":""),1)*60+index(split(D75,"":""),2 )))/0.2+1)*$N$3,"""")"),"")</f>
        <v/>
      </c>
      <c r="F75" s="16" t="str">
        <f t="shared" ca="1" si="9"/>
        <v/>
      </c>
      <c r="G75" s="16"/>
      <c r="H75" s="22" t="str">
        <f ca="1">IFERROR(__xludf.dummyfunction("iferror(1000+INT(($N$4-(index(split(G75,"":""),1)*60+index(split(G75,"":""),2 )))/0.2+1)*$N$5,"""")"),"")</f>
        <v/>
      </c>
      <c r="I75" s="16" t="str">
        <f t="shared" ca="1" si="10"/>
        <v/>
      </c>
      <c r="J75" s="16" t="str">
        <f t="shared" si="11"/>
        <v/>
      </c>
      <c r="K75" s="16" t="str">
        <f t="shared" si="12"/>
        <v/>
      </c>
      <c r="L75" s="16"/>
    </row>
    <row r="76" spans="1:12" ht="14.5" x14ac:dyDescent="0.35">
      <c r="A76" s="16"/>
      <c r="B76" s="16"/>
      <c r="C76" s="16"/>
      <c r="D76" s="16"/>
      <c r="E76" s="22" t="str">
        <f ca="1">IFERROR(__xludf.dummyfunction("iferror(1000+INT(($N$2-(index(split(D76,"":""),1)*60+index(split(D76,"":""),2 )))/0.2+1)*$N$3,"""")"),"")</f>
        <v/>
      </c>
      <c r="F76" s="16" t="str">
        <f t="shared" ca="1" si="9"/>
        <v/>
      </c>
      <c r="G76" s="16"/>
      <c r="H76" s="22" t="str">
        <f ca="1">IFERROR(__xludf.dummyfunction("iferror(1000+INT(($N$4-(index(split(G76,"":""),1)*60+index(split(G76,"":""),2 )))/0.2+1)*$N$5,"""")"),"")</f>
        <v/>
      </c>
      <c r="I76" s="16" t="str">
        <f t="shared" ca="1" si="10"/>
        <v/>
      </c>
      <c r="J76" s="16" t="str">
        <f t="shared" si="11"/>
        <v/>
      </c>
      <c r="K76" s="16" t="str">
        <f t="shared" si="12"/>
        <v/>
      </c>
      <c r="L76" s="16"/>
    </row>
    <row r="77" spans="1:12" ht="14.5" x14ac:dyDescent="0.35">
      <c r="A77" s="16"/>
      <c r="B77" s="16"/>
      <c r="C77" s="16"/>
      <c r="D77" s="16"/>
      <c r="E77" s="22" t="str">
        <f ca="1">IFERROR(__xludf.dummyfunction("iferror(1000+INT(($N$2-(index(split(D77,"":""),1)*60+index(split(D77,"":""),2 )))/0.2+1)*$N$3,"""")"),"")</f>
        <v/>
      </c>
      <c r="F77" s="16" t="str">
        <f t="shared" ca="1" si="9"/>
        <v/>
      </c>
      <c r="G77" s="16"/>
      <c r="H77" s="22" t="str">
        <f ca="1">IFERROR(__xludf.dummyfunction("iferror(1000+INT(($N$4-(index(split(G77,"":""),1)*60+index(split(G77,"":""),2 )))/0.2+1)*$N$5,"""")"),"")</f>
        <v/>
      </c>
      <c r="I77" s="16" t="str">
        <f t="shared" ca="1" si="10"/>
        <v/>
      </c>
      <c r="J77" s="16" t="str">
        <f t="shared" si="11"/>
        <v/>
      </c>
      <c r="K77" s="16" t="str">
        <f t="shared" si="12"/>
        <v/>
      </c>
      <c r="L77" s="16"/>
    </row>
    <row r="78" spans="1:12" ht="14.5" x14ac:dyDescent="0.35">
      <c r="A78" s="16"/>
      <c r="B78" s="16"/>
      <c r="C78" s="16"/>
      <c r="D78" s="16"/>
      <c r="E78" s="22" t="str">
        <f ca="1">IFERROR(__xludf.dummyfunction("iferror(1000+INT(($N$2-(index(split(D78,"":""),1)*60+index(split(D78,"":""),2 )))/0.2+1)*$N$3,"""")"),"")</f>
        <v/>
      </c>
      <c r="F78" s="16" t="str">
        <f t="shared" ca="1" si="9"/>
        <v/>
      </c>
      <c r="G78" s="16"/>
      <c r="H78" s="22" t="str">
        <f ca="1">IFERROR(__xludf.dummyfunction("iferror(1000+INT(($N$4-(index(split(G78,"":""),1)*60+index(split(G78,"":""),2 )))/0.2+1)*$N$5,"""")"),"")</f>
        <v/>
      </c>
      <c r="I78" s="16" t="str">
        <f t="shared" ca="1" si="10"/>
        <v/>
      </c>
      <c r="J78" s="16" t="str">
        <f t="shared" si="11"/>
        <v/>
      </c>
      <c r="K78" s="16" t="str">
        <f t="shared" si="12"/>
        <v/>
      </c>
      <c r="L78" s="16"/>
    </row>
    <row r="79" spans="1:12" ht="14.5" x14ac:dyDescent="0.35">
      <c r="A79" s="16"/>
      <c r="B79" s="16"/>
      <c r="C79" s="16"/>
      <c r="D79" s="16"/>
      <c r="E79" s="22" t="str">
        <f ca="1">IFERROR(__xludf.dummyfunction("iferror(1000+INT(($N$2-(index(split(D79,"":""),1)*60+index(split(D79,"":""),2 )))/0.2+1)*$N$3,"""")"),"")</f>
        <v/>
      </c>
      <c r="F79" s="16" t="str">
        <f t="shared" ca="1" si="9"/>
        <v/>
      </c>
      <c r="G79" s="16"/>
      <c r="H79" s="22" t="str">
        <f ca="1">IFERROR(__xludf.dummyfunction("iferror(1000+INT(($N$4-(index(split(G79,"":""),1)*60+index(split(G79,"":""),2 )))/0.2+1)*$N$5,"""")"),"")</f>
        <v/>
      </c>
      <c r="I79" s="16" t="str">
        <f t="shared" ca="1" si="10"/>
        <v/>
      </c>
      <c r="J79" s="16" t="str">
        <f t="shared" si="11"/>
        <v/>
      </c>
      <c r="K79" s="16" t="str">
        <f t="shared" si="12"/>
        <v/>
      </c>
      <c r="L79" s="16"/>
    </row>
    <row r="80" spans="1:12" ht="14.5" x14ac:dyDescent="0.35">
      <c r="A80" s="16"/>
      <c r="B80" s="16"/>
      <c r="C80" s="16"/>
      <c r="D80" s="16"/>
      <c r="E80" s="22" t="str">
        <f ca="1">IFERROR(__xludf.dummyfunction("iferror(1000+INT(($N$2-(index(split(D80,"":""),1)*60+index(split(D80,"":""),2 )))/0.2+1)*$N$3,"""")"),"")</f>
        <v/>
      </c>
      <c r="F80" s="16" t="str">
        <f t="shared" ca="1" si="9"/>
        <v/>
      </c>
      <c r="G80" s="16"/>
      <c r="H80" s="22" t="str">
        <f ca="1">IFERROR(__xludf.dummyfunction("iferror(1000+INT(($N$4-(index(split(G80,"":""),1)*60+index(split(G80,"":""),2 )))/0.2+1)*$N$5,"""")"),"")</f>
        <v/>
      </c>
      <c r="I80" s="16" t="str">
        <f t="shared" ca="1" si="10"/>
        <v/>
      </c>
      <c r="J80" s="16" t="str">
        <f t="shared" si="11"/>
        <v/>
      </c>
      <c r="K80" s="16" t="str">
        <f t="shared" si="12"/>
        <v/>
      </c>
      <c r="L80" s="16"/>
    </row>
    <row r="81" spans="1:12" ht="14.5" x14ac:dyDescent="0.35">
      <c r="A81" s="16"/>
      <c r="B81" s="16"/>
      <c r="C81" s="16"/>
      <c r="D81" s="16"/>
      <c r="E81" s="22" t="str">
        <f ca="1">IFERROR(__xludf.dummyfunction("iferror(1000+INT(($N$2-(index(split(D81,"":""),1)*60+index(split(D81,"":""),2 )))/0.2+1)*$N$3,"""")"),"")</f>
        <v/>
      </c>
      <c r="F81" s="16" t="str">
        <f t="shared" ca="1" si="9"/>
        <v/>
      </c>
      <c r="G81" s="16"/>
      <c r="H81" s="22" t="str">
        <f ca="1">IFERROR(__xludf.dummyfunction("iferror(1000+INT(($N$4-(index(split(G81,"":""),1)*60+index(split(G81,"":""),2 )))/0.2+1)*$N$5,"""")"),"")</f>
        <v/>
      </c>
      <c r="I81" s="16" t="str">
        <f t="shared" ca="1" si="10"/>
        <v/>
      </c>
      <c r="J81" s="16" t="str">
        <f t="shared" si="11"/>
        <v/>
      </c>
      <c r="K81" s="16" t="str">
        <f t="shared" si="12"/>
        <v/>
      </c>
      <c r="L81" s="16"/>
    </row>
    <row r="82" spans="1:12" ht="14.5" x14ac:dyDescent="0.35">
      <c r="A82" s="16"/>
      <c r="B82" s="16"/>
      <c r="C82" s="16"/>
      <c r="D82" s="16"/>
      <c r="E82" s="22" t="str">
        <f ca="1">IFERROR(__xludf.dummyfunction("iferror(1000+INT(($N$2-(index(split(D82,"":""),1)*60+index(split(D82,"":""),2 )))/0.2+1)*$N$3,"""")"),"")</f>
        <v/>
      </c>
      <c r="F82" s="16" t="str">
        <f t="shared" ca="1" si="9"/>
        <v/>
      </c>
      <c r="G82" s="16"/>
      <c r="H82" s="22" t="str">
        <f ca="1">IFERROR(__xludf.dummyfunction("iferror(1000+INT(($N$4-(index(split(G82,"":""),1)*60+index(split(G82,"":""),2 )))/0.2+1)*$N$5,"""")"),"")</f>
        <v/>
      </c>
      <c r="I82" s="16" t="str">
        <f t="shared" ca="1" si="10"/>
        <v/>
      </c>
      <c r="J82" s="16" t="str">
        <f t="shared" si="11"/>
        <v/>
      </c>
      <c r="K82" s="16" t="str">
        <f t="shared" si="12"/>
        <v/>
      </c>
      <c r="L82" s="16"/>
    </row>
    <row r="83" spans="1:12" ht="14.5" x14ac:dyDescent="0.35">
      <c r="A83" s="16"/>
      <c r="B83" s="16"/>
      <c r="C83" s="16"/>
      <c r="D83" s="16"/>
      <c r="E83" s="22" t="str">
        <f ca="1">IFERROR(__xludf.dummyfunction("iferror(1000+INT(($N$2-(index(split(D83,"":""),1)*60+index(split(D83,"":""),2 )))/0.2+1)*$N$3,"""")"),"")</f>
        <v/>
      </c>
      <c r="F83" s="16" t="str">
        <f t="shared" ca="1" si="9"/>
        <v/>
      </c>
      <c r="G83" s="16"/>
      <c r="H83" s="22" t="str">
        <f ca="1">IFERROR(__xludf.dummyfunction("iferror(1000+INT(($N$4-(index(split(G83,"":""),1)*60+index(split(G83,"":""),2 )))/0.2+1)*$N$5,"""")"),"")</f>
        <v/>
      </c>
      <c r="I83" s="16" t="str">
        <f t="shared" ca="1" si="10"/>
        <v/>
      </c>
      <c r="J83" s="16" t="str">
        <f t="shared" si="11"/>
        <v/>
      </c>
      <c r="K83" s="16" t="str">
        <f t="shared" si="12"/>
        <v/>
      </c>
      <c r="L83" s="16"/>
    </row>
    <row r="84" spans="1:12" ht="14.5" x14ac:dyDescent="0.35">
      <c r="A84" s="16"/>
      <c r="B84" s="16"/>
      <c r="C84" s="16"/>
      <c r="D84" s="16"/>
      <c r="E84" s="22" t="str">
        <f ca="1">IFERROR(__xludf.dummyfunction("iferror(1000+INT(($N$2-(index(split(D84,"":""),1)*60+index(split(D84,"":""),2 )))/0.2+1)*$N$3,"""")"),"")</f>
        <v/>
      </c>
      <c r="F84" s="16" t="str">
        <f t="shared" ca="1" si="9"/>
        <v/>
      </c>
      <c r="G84" s="16"/>
      <c r="H84" s="22" t="str">
        <f ca="1">IFERROR(__xludf.dummyfunction("iferror(1000+INT(($N$4-(index(split(G84,"":""),1)*60+index(split(G84,"":""),2 )))/0.2+1)*$N$5,"""")"),"")</f>
        <v/>
      </c>
      <c r="I84" s="16" t="str">
        <f t="shared" ca="1" si="10"/>
        <v/>
      </c>
      <c r="J84" s="16" t="str">
        <f t="shared" si="11"/>
        <v/>
      </c>
      <c r="K84" s="16" t="str">
        <f t="shared" si="12"/>
        <v/>
      </c>
      <c r="L84" s="16"/>
    </row>
    <row r="85" spans="1:12" ht="14.5" x14ac:dyDescent="0.35">
      <c r="A85" s="16"/>
      <c r="B85" s="16"/>
      <c r="C85" s="16"/>
      <c r="D85" s="16"/>
      <c r="E85" s="22" t="str">
        <f ca="1">IFERROR(__xludf.dummyfunction("iferror(1000+INT(($N$2-(index(split(D85,"":""),1)*60+index(split(D85,"":""),2 )))/0.2+1)*$N$3,"""")"),"")</f>
        <v/>
      </c>
      <c r="F85" s="16" t="str">
        <f t="shared" ca="1" si="9"/>
        <v/>
      </c>
      <c r="G85" s="16"/>
      <c r="H85" s="22" t="str">
        <f ca="1">IFERROR(__xludf.dummyfunction("iferror(1000+INT(($N$4-(index(split(G85,"":""),1)*60+index(split(G85,"":""),2 )))/0.2+1)*$N$5,"""")"),"")</f>
        <v/>
      </c>
      <c r="I85" s="16" t="str">
        <f t="shared" ca="1" si="10"/>
        <v/>
      </c>
      <c r="J85" s="16" t="str">
        <f t="shared" si="11"/>
        <v/>
      </c>
      <c r="K85" s="16" t="str">
        <f t="shared" si="12"/>
        <v/>
      </c>
      <c r="L85" s="16"/>
    </row>
    <row r="86" spans="1:12" ht="14.5" x14ac:dyDescent="0.35">
      <c r="A86" s="16"/>
      <c r="B86" s="16"/>
      <c r="C86" s="16"/>
      <c r="D86" s="16"/>
      <c r="E86" s="22" t="str">
        <f ca="1">IFERROR(__xludf.dummyfunction("iferror(1000+INT(($N$2-(index(split(D86,"":""),1)*60+index(split(D86,"":""),2 )))/0.2+1)*$N$3,"""")"),"")</f>
        <v/>
      </c>
      <c r="F86" s="16" t="str">
        <f t="shared" ca="1" si="9"/>
        <v/>
      </c>
      <c r="G86" s="16"/>
      <c r="H86" s="22" t="str">
        <f ca="1">IFERROR(__xludf.dummyfunction("iferror(1000+INT(($N$4-(index(split(G86,"":""),1)*60+index(split(G86,"":""),2 )))/0.2+1)*$N$5,"""")"),"")</f>
        <v/>
      </c>
      <c r="I86" s="16" t="str">
        <f t="shared" ca="1" si="10"/>
        <v/>
      </c>
      <c r="J86" s="16" t="str">
        <f t="shared" si="11"/>
        <v/>
      </c>
      <c r="K86" s="16" t="str">
        <f t="shared" si="12"/>
        <v/>
      </c>
      <c r="L86" s="16"/>
    </row>
    <row r="87" spans="1:12" ht="14.5" x14ac:dyDescent="0.35">
      <c r="A87" s="16"/>
      <c r="B87" s="16"/>
      <c r="C87" s="16"/>
      <c r="D87" s="16"/>
      <c r="E87" s="22" t="str">
        <f ca="1">IFERROR(__xludf.dummyfunction("iferror(1000+INT(($N$2-(index(split(D87,"":""),1)*60+index(split(D87,"":""),2 )))/0.2+1)*$N$3,"""")"),"")</f>
        <v/>
      </c>
      <c r="F87" s="16" t="str">
        <f t="shared" ca="1" si="9"/>
        <v/>
      </c>
      <c r="G87" s="16"/>
      <c r="H87" s="22" t="str">
        <f ca="1">IFERROR(__xludf.dummyfunction("iferror(1000+INT(($N$4-(index(split(G87,"":""),1)*60+index(split(G87,"":""),2 )))/0.2+1)*$N$5,"""")"),"")</f>
        <v/>
      </c>
      <c r="I87" s="16" t="str">
        <f t="shared" ca="1" si="10"/>
        <v/>
      </c>
      <c r="J87" s="16" t="str">
        <f t="shared" si="11"/>
        <v/>
      </c>
      <c r="K87" s="16" t="str">
        <f t="shared" si="12"/>
        <v/>
      </c>
      <c r="L87" s="16"/>
    </row>
    <row r="88" spans="1:12" ht="14.5" x14ac:dyDescent="0.35">
      <c r="A88" s="16"/>
      <c r="B88" s="16"/>
      <c r="C88" s="16"/>
      <c r="D88" s="16"/>
      <c r="E88" s="22" t="str">
        <f ca="1">IFERROR(__xludf.dummyfunction("iferror(1000+INT(($N$2-(index(split(D88,"":""),1)*60+index(split(D88,"":""),2 )))/0.2+1)*$N$3,"""")"),"")</f>
        <v/>
      </c>
      <c r="F88" s="16" t="str">
        <f t="shared" ca="1" si="9"/>
        <v/>
      </c>
      <c r="G88" s="16"/>
      <c r="H88" s="22" t="str">
        <f ca="1">IFERROR(__xludf.dummyfunction("iferror(1000+INT(($N$4-(index(split(G88,"":""),1)*60+index(split(G88,"":""),2 )))/0.2+1)*$N$5,"""")"),"")</f>
        <v/>
      </c>
      <c r="I88" s="16" t="str">
        <f t="shared" ca="1" si="10"/>
        <v/>
      </c>
      <c r="J88" s="16" t="str">
        <f t="shared" si="11"/>
        <v/>
      </c>
      <c r="K88" s="16" t="str">
        <f t="shared" si="12"/>
        <v/>
      </c>
      <c r="L88" s="16"/>
    </row>
    <row r="89" spans="1:12" ht="14.5" x14ac:dyDescent="0.35">
      <c r="A89" s="16"/>
      <c r="B89" s="16"/>
      <c r="C89" s="16"/>
      <c r="D89" s="16"/>
      <c r="E89" s="22" t="str">
        <f ca="1">IFERROR(__xludf.dummyfunction("iferror(1000+INT(($N$2-(index(split(D89,"":""),1)*60+index(split(D89,"":""),2 )))/0.2+1)*$N$3,"""")"),"")</f>
        <v/>
      </c>
      <c r="F89" s="16" t="str">
        <f t="shared" ca="1" si="9"/>
        <v/>
      </c>
      <c r="G89" s="16"/>
      <c r="H89" s="22" t="str">
        <f ca="1">IFERROR(__xludf.dummyfunction("iferror(1000+INT(($N$4-(index(split(G89,"":""),1)*60+index(split(G89,"":""),2 )))/0.2+1)*$N$5,"""")"),"")</f>
        <v/>
      </c>
      <c r="I89" s="16" t="str">
        <f t="shared" ca="1" si="10"/>
        <v/>
      </c>
      <c r="J89" s="16" t="str">
        <f t="shared" si="11"/>
        <v/>
      </c>
      <c r="K89" s="16" t="str">
        <f t="shared" si="12"/>
        <v/>
      </c>
      <c r="L89" s="16"/>
    </row>
    <row r="90" spans="1:12" ht="14.5" x14ac:dyDescent="0.35">
      <c r="A90" s="16"/>
      <c r="B90" s="16"/>
      <c r="C90" s="16"/>
      <c r="D90" s="16"/>
      <c r="E90" s="22" t="str">
        <f ca="1">IFERROR(__xludf.dummyfunction("iferror(1000+INT(($N$2-(index(split(D90,"":""),1)*60+index(split(D90,"":""),2 )))/0.2+1)*$N$3,"""")"),"")</f>
        <v/>
      </c>
      <c r="F90" s="16" t="str">
        <f t="shared" ca="1" si="9"/>
        <v/>
      </c>
      <c r="G90" s="16"/>
      <c r="H90" s="22" t="str">
        <f ca="1">IFERROR(__xludf.dummyfunction("iferror(1000+INT(($N$4-(index(split(G90,"":""),1)*60+index(split(G90,"":""),2 )))/0.2+1)*$N$5,"""")"),"")</f>
        <v/>
      </c>
      <c r="I90" s="16" t="str">
        <f t="shared" ca="1" si="10"/>
        <v/>
      </c>
      <c r="J90" s="16" t="str">
        <f t="shared" si="11"/>
        <v/>
      </c>
      <c r="K90" s="16" t="str">
        <f t="shared" si="12"/>
        <v/>
      </c>
      <c r="L90" s="16"/>
    </row>
    <row r="91" spans="1:12" ht="14.5" x14ac:dyDescent="0.35">
      <c r="A91" s="16"/>
      <c r="B91" s="16"/>
      <c r="C91" s="16"/>
      <c r="D91" s="16"/>
      <c r="E91" s="22" t="str">
        <f ca="1">IFERROR(__xludf.dummyfunction("iferror(1000+INT(($N$2-(index(split(D91,"":""),1)*60+index(split(D91,"":""),2 )))/0.2+1)*$N$3,"""")"),"")</f>
        <v/>
      </c>
      <c r="F91" s="16" t="str">
        <f t="shared" ca="1" si="9"/>
        <v/>
      </c>
      <c r="G91" s="16"/>
      <c r="H91" s="22" t="str">
        <f ca="1">IFERROR(__xludf.dummyfunction("iferror(1000+INT(($N$4-(index(split(G91,"":""),1)*60+index(split(G91,"":""),2 )))/0.2+1)*$N$5,"""")"),"")</f>
        <v/>
      </c>
      <c r="I91" s="16" t="str">
        <f t="shared" ca="1" si="10"/>
        <v/>
      </c>
      <c r="J91" s="16" t="str">
        <f t="shared" si="11"/>
        <v/>
      </c>
      <c r="K91" s="16" t="str">
        <f t="shared" si="12"/>
        <v/>
      </c>
      <c r="L91" s="16"/>
    </row>
    <row r="92" spans="1:12" ht="14.5" x14ac:dyDescent="0.35">
      <c r="A92" s="16"/>
      <c r="B92" s="16"/>
      <c r="C92" s="16"/>
      <c r="D92" s="16"/>
      <c r="E92" s="22" t="str">
        <f ca="1">IFERROR(__xludf.dummyfunction("iferror(1000+INT(($N$2-(index(split(D92,"":""),1)*60+index(split(D92,"":""),2 )))/0.2+1)*$N$3,"""")"),"")</f>
        <v/>
      </c>
      <c r="F92" s="16" t="str">
        <f t="shared" ca="1" si="9"/>
        <v/>
      </c>
      <c r="G92" s="16"/>
      <c r="H92" s="22" t="str">
        <f ca="1">IFERROR(__xludf.dummyfunction("iferror(1000+INT(($N$4-(index(split(G92,"":""),1)*60+index(split(G92,"":""),2 )))/0.2+1)*$N$5,"""")"),"")</f>
        <v/>
      </c>
      <c r="I92" s="16" t="str">
        <f t="shared" ca="1" si="10"/>
        <v/>
      </c>
      <c r="J92" s="16" t="str">
        <f t="shared" si="11"/>
        <v/>
      </c>
      <c r="K92" s="16" t="str">
        <f t="shared" si="12"/>
        <v/>
      </c>
      <c r="L92" s="16"/>
    </row>
    <row r="93" spans="1:12" ht="14.5" x14ac:dyDescent="0.35">
      <c r="A93" s="16"/>
      <c r="B93" s="16"/>
      <c r="C93" s="16"/>
      <c r="D93" s="16"/>
      <c r="E93" s="22" t="str">
        <f ca="1">IFERROR(__xludf.dummyfunction("iferror(1000+INT(($N$2-(index(split(D93,"":""),1)*60+index(split(D93,"":""),2 )))/0.2+1)*$N$3,"""")"),"")</f>
        <v/>
      </c>
      <c r="F93" s="16" t="str">
        <f t="shared" ca="1" si="9"/>
        <v/>
      </c>
      <c r="G93" s="16"/>
      <c r="H93" s="22" t="str">
        <f ca="1">IFERROR(__xludf.dummyfunction("iferror(1000+INT(($N$4-(index(split(G93,"":""),1)*60+index(split(G93,"":""),2 )))/0.2+1)*$N$5,"""")"),"")</f>
        <v/>
      </c>
      <c r="I93" s="16" t="str">
        <f t="shared" ca="1" si="10"/>
        <v/>
      </c>
      <c r="J93" s="16" t="str">
        <f t="shared" si="11"/>
        <v/>
      </c>
      <c r="K93" s="16" t="str">
        <f t="shared" si="12"/>
        <v/>
      </c>
      <c r="L93" s="16"/>
    </row>
    <row r="94" spans="1:12" ht="14.5" x14ac:dyDescent="0.35">
      <c r="A94" s="16"/>
      <c r="B94" s="16"/>
      <c r="C94" s="16"/>
      <c r="D94" s="16"/>
      <c r="E94" s="22" t="str">
        <f ca="1">IFERROR(__xludf.dummyfunction("iferror(1000+INT(($N$2-(index(split(D94,"":""),1)*60+index(split(D94,"":""),2 )))/0.2+1)*$N$3,"""")"),"")</f>
        <v/>
      </c>
      <c r="F94" s="16" t="str">
        <f t="shared" ca="1" si="9"/>
        <v/>
      </c>
      <c r="G94" s="16"/>
      <c r="H94" s="22" t="str">
        <f ca="1">IFERROR(__xludf.dummyfunction("iferror(1000+INT(($N$4-(index(split(G94,"":""),1)*60+index(split(G94,"":""),2 )))/0.2+1)*$N$5,"""")"),"")</f>
        <v/>
      </c>
      <c r="I94" s="16" t="str">
        <f t="shared" ca="1" si="10"/>
        <v/>
      </c>
      <c r="J94" s="16" t="str">
        <f t="shared" si="11"/>
        <v/>
      </c>
      <c r="K94" s="16" t="str">
        <f t="shared" si="12"/>
        <v/>
      </c>
      <c r="L94" s="16"/>
    </row>
    <row r="95" spans="1:12" ht="14.5" x14ac:dyDescent="0.35">
      <c r="A95" s="16"/>
      <c r="B95" s="16"/>
      <c r="C95" s="16"/>
      <c r="D95" s="16"/>
      <c r="E95" s="22" t="str">
        <f ca="1">IFERROR(__xludf.dummyfunction("iferror(1000+INT(($N$2-(index(split(D95,"":""),1)*60+index(split(D95,"":""),2 )))/0.2+1)*$N$3,"""")"),"")</f>
        <v/>
      </c>
      <c r="F95" s="16" t="str">
        <f t="shared" ca="1" si="9"/>
        <v/>
      </c>
      <c r="G95" s="16"/>
      <c r="H95" s="22" t="str">
        <f ca="1">IFERROR(__xludf.dummyfunction("iferror(1000+INT(($N$4-(index(split(G95,"":""),1)*60+index(split(G95,"":""),2 )))/0.2+1)*$N$5,"""")"),"")</f>
        <v/>
      </c>
      <c r="I95" s="16" t="str">
        <f t="shared" ca="1" si="10"/>
        <v/>
      </c>
      <c r="J95" s="16" t="str">
        <f t="shared" si="11"/>
        <v/>
      </c>
      <c r="K95" s="16" t="str">
        <f t="shared" si="12"/>
        <v/>
      </c>
      <c r="L95" s="16"/>
    </row>
    <row r="96" spans="1:12" ht="14.5" x14ac:dyDescent="0.35">
      <c r="A96" s="16"/>
      <c r="B96" s="16"/>
      <c r="C96" s="16"/>
      <c r="D96" s="16"/>
      <c r="E96" s="22" t="str">
        <f ca="1">IFERROR(__xludf.dummyfunction("iferror(1000+INT(($N$2-(index(split(D96,"":""),1)*60+index(split(D96,"":""),2 )))/0.2+1)*$N$3,"""")"),"")</f>
        <v/>
      </c>
      <c r="F96" s="16" t="str">
        <f t="shared" ca="1" si="9"/>
        <v/>
      </c>
      <c r="G96" s="16"/>
      <c r="H96" s="22" t="str">
        <f ca="1">IFERROR(__xludf.dummyfunction("iferror(1000+INT(($N$4-(index(split(G96,"":""),1)*60+index(split(G96,"":""),2 )))/0.2+1)*$N$5,"""")"),"")</f>
        <v/>
      </c>
      <c r="I96" s="16" t="str">
        <f t="shared" ca="1" si="10"/>
        <v/>
      </c>
      <c r="J96" s="16" t="str">
        <f t="shared" si="11"/>
        <v/>
      </c>
      <c r="K96" s="16" t="str">
        <f t="shared" si="12"/>
        <v/>
      </c>
      <c r="L96" s="16"/>
    </row>
    <row r="97" spans="1:12" ht="14.5" x14ac:dyDescent="0.35">
      <c r="A97" s="16"/>
      <c r="B97" s="16"/>
      <c r="C97" s="16"/>
      <c r="D97" s="16"/>
      <c r="E97" s="22" t="str">
        <f ca="1">IFERROR(__xludf.dummyfunction("iferror(1000+INT(($N$2-(index(split(D97,"":""),1)*60+index(split(D97,"":""),2 )))/0.2+1)*$N$3,"""")"),"")</f>
        <v/>
      </c>
      <c r="F97" s="16" t="str">
        <f t="shared" ca="1" si="9"/>
        <v/>
      </c>
      <c r="G97" s="16"/>
      <c r="H97" s="22" t="str">
        <f ca="1">IFERROR(__xludf.dummyfunction("iferror(1000+INT(($N$4-(index(split(G97,"":""),1)*60+index(split(G97,"":""),2 )))/0.2+1)*$N$5,"""")"),"")</f>
        <v/>
      </c>
      <c r="I97" s="16" t="str">
        <f t="shared" ca="1" si="10"/>
        <v/>
      </c>
      <c r="J97" s="16" t="str">
        <f t="shared" si="11"/>
        <v/>
      </c>
      <c r="K97" s="16" t="str">
        <f t="shared" si="12"/>
        <v/>
      </c>
      <c r="L97" s="16"/>
    </row>
    <row r="98" spans="1:12" ht="14.5" x14ac:dyDescent="0.35">
      <c r="A98" s="16"/>
      <c r="B98" s="16"/>
      <c r="C98" s="16"/>
      <c r="D98" s="16"/>
      <c r="E98" s="22" t="str">
        <f ca="1">IFERROR(__xludf.dummyfunction("iferror(1000+INT(($N$2-(index(split(D98,"":""),1)*60+index(split(D98,"":""),2 )))/0.2+1)*$N$3,"""")"),"")</f>
        <v/>
      </c>
      <c r="F98" s="16" t="str">
        <f t="shared" ref="F98:F129" ca="1" si="13">IFERROR(_xlfn.RANK.EQ(E98,E:E),"")</f>
        <v/>
      </c>
      <c r="G98" s="16"/>
      <c r="H98" s="22" t="str">
        <f ca="1">IFERROR(__xludf.dummyfunction("iferror(1000+INT(($N$4-(index(split(G98,"":""),1)*60+index(split(G98,"":""),2 )))/0.2+1)*$N$5,"""")"),"")</f>
        <v/>
      </c>
      <c r="I98" s="16" t="str">
        <f t="shared" ref="I98:I129" ca="1" si="14">IFERROR(_xlfn.RANK.EQ(H98,H:H),"")</f>
        <v/>
      </c>
      <c r="J98" s="16" t="str">
        <f t="shared" si="11"/>
        <v/>
      </c>
      <c r="K98" s="16" t="str">
        <f t="shared" ref="K98:K129" si="15">IFERROR(_xlfn.RANK.EQ(J98,J:J),"")</f>
        <v/>
      </c>
      <c r="L98" s="16"/>
    </row>
    <row r="99" spans="1:12" ht="14.5" x14ac:dyDescent="0.35">
      <c r="A99" s="16"/>
      <c r="B99" s="16"/>
      <c r="C99" s="16"/>
      <c r="D99" s="16"/>
      <c r="E99" s="22" t="str">
        <f ca="1">IFERROR(__xludf.dummyfunction("iferror(1000+INT(($N$2-(index(split(D99,"":""),1)*60+index(split(D99,"":""),2 )))/0.2+1)*$N$3,"""")"),"")</f>
        <v/>
      </c>
      <c r="F99" s="16" t="str">
        <f t="shared" ca="1" si="13"/>
        <v/>
      </c>
      <c r="G99" s="16"/>
      <c r="H99" s="22" t="str">
        <f ca="1">IFERROR(__xludf.dummyfunction("iferror(1000+INT(($N$4-(index(split(G99,"":""),1)*60+index(split(G99,"":""),2 )))/0.2+1)*$N$5,"""")"),"")</f>
        <v/>
      </c>
      <c r="I99" s="16" t="str">
        <f t="shared" ca="1" si="14"/>
        <v/>
      </c>
      <c r="J99" s="16" t="str">
        <f t="shared" si="11"/>
        <v/>
      </c>
      <c r="K99" s="16" t="str">
        <f t="shared" si="15"/>
        <v/>
      </c>
      <c r="L99" s="16"/>
    </row>
    <row r="100" spans="1:12" ht="14.5" x14ac:dyDescent="0.35">
      <c r="A100" s="16"/>
      <c r="B100" s="16"/>
      <c r="C100" s="16"/>
      <c r="D100" s="16"/>
      <c r="E100" s="22" t="str">
        <f ca="1">IFERROR(__xludf.dummyfunction("iferror(1000+INT(($N$2-(index(split(D100,"":""),1)*60+index(split(D100,"":""),2 )))/0.2+1)*$N$3,"""")"),"")</f>
        <v/>
      </c>
      <c r="F100" s="16" t="str">
        <f t="shared" ca="1" si="13"/>
        <v/>
      </c>
      <c r="G100" s="16"/>
      <c r="H100" s="22" t="str">
        <f ca="1">IFERROR(__xludf.dummyfunction("iferror(1000+INT(($N$4-(index(split(G100,"":""),1)*60+index(split(G100,"":""),2 )))/0.2+1)*$N$5,"""")"),"")</f>
        <v/>
      </c>
      <c r="I100" s="16" t="str">
        <f t="shared" ca="1" si="14"/>
        <v/>
      </c>
      <c r="J100" s="16" t="str">
        <f t="shared" si="11"/>
        <v/>
      </c>
      <c r="K100" s="16" t="str">
        <f t="shared" si="15"/>
        <v/>
      </c>
      <c r="L100" s="16"/>
    </row>
    <row r="101" spans="1:12" ht="14.5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4.5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4.5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4.5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4.5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4.5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4.5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4.5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4.5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4.5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4.5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4.5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4.5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4.5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4.5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4.5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4.5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4.5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4.5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4.5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4.5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4.5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4.5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4.5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4.5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4.5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4.5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4.5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4.5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4.5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4.5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4.5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4.5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4.5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4.5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4.5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4.5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4.5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4.5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4.5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4.5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4.5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4.5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4.5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4.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4.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4.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4.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4.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4.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4.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4.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4.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4.5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4.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4.5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4.5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4.5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4.5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4.5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4.5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4.5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ht="14.5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4.5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ht="14.5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ht="14.5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4.5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4.5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5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4.5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4.5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4.5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4.5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4.5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4.5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4.5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4.5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4.5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4.5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4.5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4.5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4.5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4.5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4.5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4.5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4.5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4.5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4.5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4.5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4.5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4.5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4.5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4.5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4.5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4.5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4.5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4.5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4.5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4.5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4.5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4.5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4.5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4.5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4.5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4.5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4.5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4.5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4.5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4.5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4.5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4.5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4.5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4.5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4.5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4.5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4.5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4.5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4.5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4.5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4.5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4.5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4.5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4.5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4.5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4.5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4.5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4.5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4.5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4.5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4.5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4.5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4.5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4.5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5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4.5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4.5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4.5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4.5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4.5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4.5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4.5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4.5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4.5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4.5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4.5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4.5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4.5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4.5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4.5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4.5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4.5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4.5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4.5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4.5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4.5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4.5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4.5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4.5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4.5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4.5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4.5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4.5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4.5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4.5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4.5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4.5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4.5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4.5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4.5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4.5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4.5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4.5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4.5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4.5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4.5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4.5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4.5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4.5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4.5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4.5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4.5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4.5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4.5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4.5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4.5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4.5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4.5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4.5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4.5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4.5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4.5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4.5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4.5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4.5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4.5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4.5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4.5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4.5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4.5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4.5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4.5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4.5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4.5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4.5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4.5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4.5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4.5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4.5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4.5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4.5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4.5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4.5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4.5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4.5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4.5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4.5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4.5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4.5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4.5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4.5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4.5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4.5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4.5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4.5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4.5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4.5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4.5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4.5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4.5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4.5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4.5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4.5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4.5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4.5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4.5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4.5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4.5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4.5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4.5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4.5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4.5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4.5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4.5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4.5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4.5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4.5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4.5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4.5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4.5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4.5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4.5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4.5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4.5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4.5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4.5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4.5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4.5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4.5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4.5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4.5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4.5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4.5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4.5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4.5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4.5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4.5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4.5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4.5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4.5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4.5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4.5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4.5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4.5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4.5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4.5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4.5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4.5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4.5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4.5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ht="14.5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ht="14.5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ht="14.5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ht="14.5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ht="14.5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ht="14.5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ht="14.5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ht="14.5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ht="14.5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ht="14.5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ht="14.5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ht="14.5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ht="14.5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ht="14.5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ht="14.5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ht="14.5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ht="14.5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ht="14.5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ht="14.5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ht="14.5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ht="14.5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ht="14.5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ht="14.5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ht="14.5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ht="14.5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ht="14.5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ht="14.5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ht="14.5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ht="14.5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ht="14.5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ht="14.5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ht="14.5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ht="14.5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ht="14.5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ht="14.5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ht="14.5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ht="14.5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ht="14.5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ht="14.5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ht="14.5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ht="14.5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ht="14.5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ht="14.5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ht="14.5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ht="14.5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ht="14.5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ht="14.5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ht="14.5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ht="14.5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ht="14.5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ht="14.5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ht="14.5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ht="14.5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ht="14.5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ht="14.5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ht="14.5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ht="14.5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ht="14.5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 ht="14.5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 ht="14.5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 ht="14.5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 ht="14.5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 ht="14.5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 ht="14.5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 ht="14.5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 ht="14.5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 ht="14.5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 ht="14.5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 ht="14.5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 ht="14.5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 ht="14.5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 ht="14.5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 ht="14.5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 ht="14.5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 ht="14.5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 ht="14.5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 ht="14.5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 ht="14.5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 ht="14.5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 ht="14.5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 ht="14.5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 ht="14.5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 ht="14.5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 ht="14.5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 ht="14.5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 ht="14.5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 ht="14.5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 ht="14.5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 ht="14.5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 ht="14.5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 ht="14.5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 ht="14.5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 ht="14.5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 ht="14.5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 ht="14.5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 ht="14.5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 ht="14.5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 ht="14.5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 ht="14.5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 ht="14.5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 ht="14.5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 ht="14.5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 ht="14.5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 ht="14.5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 ht="14.5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 ht="14.5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 ht="14.5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 ht="14.5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 ht="14.5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 ht="14.5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 ht="14.5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 ht="14.5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 ht="14.5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 ht="14.5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 ht="14.5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 ht="14.5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 ht="14.5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 ht="14.5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 ht="14.5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 ht="14.5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 ht="14.5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 ht="14.5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 ht="14.5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 ht="14.5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 ht="14.5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 ht="14.5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 ht="14.5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 ht="14.5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 ht="14.5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 ht="14.5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 ht="14.5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 ht="14.5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 ht="14.5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 ht="14.5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 ht="14.5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 ht="14.5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 ht="14.5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 ht="14.5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 ht="14.5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 ht="14.5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 ht="14.5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ht="14.5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ht="14.5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ht="14.5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ht="14.5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ht="14.5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ht="14.5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ht="14.5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ht="14.5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 ht="14.5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 ht="14.5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 ht="14.5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 ht="14.5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 ht="14.5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 ht="14.5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 ht="14.5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 ht="14.5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 ht="14.5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 ht="14.5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 ht="14.5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 ht="14.5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 ht="14.5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 ht="14.5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 ht="14.5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 ht="14.5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 ht="14.5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 ht="14.5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 ht="14.5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 ht="14.5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 ht="14.5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 ht="14.5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 ht="14.5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 ht="14.5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 ht="14.5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 ht="14.5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 ht="14.5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 ht="14.5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 ht="14.5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 ht="14.5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 ht="14.5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 ht="14.5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 ht="14.5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 ht="14.5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 ht="14.5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 ht="14.5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 ht="14.5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 ht="14.5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 ht="14.5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 ht="14.5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 ht="14.5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 ht="14.5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 ht="14.5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 ht="14.5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 ht="14.5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 ht="14.5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 ht="14.5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 ht="14.5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 ht="14.5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 ht="14.5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 ht="14.5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 ht="14.5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 ht="14.5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 ht="14.5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 ht="14.5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 ht="14.5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 ht="14.5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 ht="14.5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 ht="14.5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 ht="14.5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 ht="14.5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 ht="14.5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 ht="14.5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 ht="14.5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 ht="14.5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 ht="14.5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 ht="14.5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 ht="14.5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 ht="14.5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 ht="14.5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 ht="14.5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 ht="14.5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 ht="14.5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 ht="14.5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 ht="14.5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 ht="14.5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 ht="14.5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 ht="14.5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 ht="14.5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 ht="14.5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 ht="14.5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 ht="14.5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 ht="14.5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 ht="14.5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 ht="14.5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 ht="14.5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 ht="14.5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 ht="14.5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 ht="14.5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 ht="14.5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 ht="14.5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 ht="14.5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 ht="14.5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 ht="14.5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 ht="14.5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 ht="14.5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 ht="14.5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 ht="14.5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 ht="14.5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 ht="14.5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 ht="14.5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 ht="14.5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 ht="14.5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 ht="14.5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 ht="14.5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 ht="14.5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 ht="14.5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 ht="14.5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 ht="14.5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 ht="14.5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 ht="14.5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 ht="14.5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 ht="14.5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 ht="14.5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 ht="14.5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 ht="14.5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 ht="14.5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 ht="14.5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 ht="14.5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 ht="14.5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 ht="14.5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 ht="14.5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 ht="14.5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 ht="14.5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 ht="14.5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 ht="14.5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 ht="14.5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 ht="14.5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 ht="14.5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 ht="14.5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 ht="14.5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 ht="14.5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 ht="14.5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 ht="14.5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 ht="14.5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 ht="14.5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 ht="14.5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 ht="14.5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 ht="14.5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 ht="14.5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 ht="14.5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 ht="14.5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 ht="14.5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 ht="14.5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 ht="14.5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 ht="14.5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 ht="14.5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 ht="14.5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 ht="14.5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 ht="14.5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 ht="14.5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 ht="14.5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 ht="14.5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 ht="14.5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 ht="14.5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 ht="14.5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 ht="14.5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 ht="14.5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 ht="14.5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 ht="14.5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 ht="14.5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 ht="14.5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 ht="14.5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 ht="14.5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 ht="14.5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 ht="14.5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 ht="14.5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 ht="14.5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 ht="14.5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 ht="14.5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 ht="14.5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 ht="14.5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 ht="14.5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 ht="14.5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 ht="14.5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 ht="14.5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 ht="14.5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 ht="14.5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 ht="14.5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 ht="14.5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 ht="14.5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 ht="14.5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 ht="14.5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 ht="14.5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 ht="14.5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 ht="14.5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 ht="14.5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 ht="14.5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 ht="14.5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 ht="14.5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 ht="14.5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 ht="14.5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 ht="14.5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 ht="14.5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 ht="14.5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 ht="14.5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 ht="14.5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 ht="14.5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 ht="14.5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 ht="14.5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 ht="14.5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 ht="14.5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 ht="14.5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 ht="14.5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 ht="14.5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 ht="14.5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 ht="14.5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 ht="14.5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 ht="14.5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 ht="14.5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 ht="14.5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 ht="14.5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 ht="14.5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 ht="14.5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 ht="14.5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 ht="14.5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 ht="14.5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 ht="14.5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 ht="14.5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 ht="14.5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 ht="14.5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 ht="14.5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 ht="14.5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 ht="14.5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 ht="14.5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 ht="14.5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 ht="14.5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 ht="14.5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 ht="14.5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 ht="14.5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 ht="14.5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 ht="14.5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 ht="14.5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 ht="14.5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 ht="14.5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 ht="14.5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 ht="14.5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 ht="14.5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 ht="14.5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 ht="14.5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 ht="14.5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 ht="14.5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 ht="14.5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 ht="14.5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 ht="14.5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 ht="14.5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 ht="14.5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 ht="14.5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 ht="14.5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 ht="14.5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 ht="14.5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 ht="14.5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 ht="14.5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 ht="14.5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 ht="14.5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 ht="14.5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 ht="14.5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 ht="14.5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 ht="14.5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 ht="14.5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 ht="14.5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 ht="14.5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 ht="14.5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 ht="14.5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 ht="14.5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 ht="14.5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 ht="14.5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 ht="14.5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 ht="14.5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 ht="14.5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 ht="14.5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 ht="14.5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 ht="14.5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 ht="14.5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 ht="14.5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 ht="14.5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 ht="14.5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 ht="14.5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 ht="14.5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 ht="14.5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 ht="14.5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 ht="14.5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 ht="14.5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 ht="14.5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 ht="14.5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 ht="14.5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 ht="14.5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 ht="14.5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 ht="14.5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 ht="14.5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 ht="14.5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 ht="14.5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 ht="14.5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 ht="14.5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 ht="14.5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 ht="14.5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 ht="14.5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 ht="14.5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 ht="14.5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 ht="14.5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 ht="14.5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 ht="14.5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 ht="14.5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 ht="14.5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 ht="14.5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 ht="14.5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 ht="14.5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 ht="14.5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 ht="14.5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 ht="14.5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 ht="14.5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 ht="14.5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 ht="14.5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 ht="14.5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 ht="14.5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 ht="14.5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 ht="14.5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 ht="14.5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 ht="14.5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 ht="14.5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 ht="14.5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 ht="14.5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 ht="14.5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 ht="14.5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 ht="14.5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 ht="14.5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 ht="14.5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 ht="14.5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 ht="14.5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 ht="14.5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 ht="14.5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 ht="14.5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 ht="14.5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 ht="14.5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 ht="14.5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 ht="14.5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 ht="14.5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 ht="14.5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 ht="14.5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 ht="14.5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 ht="14.5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 ht="14.5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 ht="14.5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 ht="14.5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 ht="14.5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 ht="14.5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 ht="14.5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 ht="14.5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 ht="14.5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 ht="14.5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 ht="14.5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 ht="14.5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 ht="14.5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 ht="14.5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 ht="14.5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 ht="14.5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 ht="14.5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 ht="14.5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 ht="14.5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 ht="14.5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 ht="14.5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 ht="14.5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 ht="14.5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 ht="14.5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 ht="14.5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 ht="14.5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 ht="14.5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 ht="14.5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 ht="14.5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 ht="14.5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 ht="14.5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 ht="14.5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 ht="14.5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 ht="14.5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 ht="14.5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 ht="14.5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 ht="14.5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 ht="14.5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 ht="14.5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 ht="14.5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 ht="14.5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 ht="14.5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 ht="14.5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 ht="14.5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 ht="14.5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 ht="14.5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 ht="14.5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 ht="14.5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 ht="14.5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 ht="14.5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 ht="14.5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 ht="14.5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 ht="14.5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 ht="14.5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 ht="14.5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 ht="14.5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 ht="14.5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</sheetData>
  <sortState xmlns:xlrd2="http://schemas.microsoft.com/office/spreadsheetml/2017/richdata2" ref="A2:K18">
    <sortCondition ref="K2:K18"/>
  </sortState>
  <printOptions horizontalCentered="1" gridLines="1"/>
  <pageMargins left="0.7" right="0.7" top="1.1437499999999998" bottom="1.1437499999999998" header="0.75" footer="0.75"/>
  <pageSetup paperSize="0" fitToWidth="0" fitToHeight="0" pageOrder="overThenDown" orientation="landscape" horizontalDpi="0" verticalDpi="0" copies="0"/>
  <headerFooter alignWithMargins="0"/>
  <ignoredErrors>
    <ignoredError sqref="J2:J21 C14 C16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'Scoring tables'!$A$2:$A$57</xm:f>
          </x14:formula1>
          <xm:sqref>L1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workbookViewId="0">
      <selection activeCell="A13" sqref="A13:K13"/>
    </sheetView>
  </sheetViews>
  <sheetFormatPr defaultRowHeight="15.75" customHeight="1" x14ac:dyDescent="0.35"/>
  <cols>
    <col min="1" max="1" width="10.4140625" style="25" customWidth="1"/>
    <col min="2" max="2" width="23.58203125" style="25" customWidth="1"/>
    <col min="3" max="3" width="28.9140625" style="25" customWidth="1"/>
    <col min="4" max="11" width="8.4140625" style="25" customWidth="1"/>
    <col min="12" max="1024" width="11.6640625" style="25" customWidth="1"/>
    <col min="1025" max="16384" width="8.6640625" style="25"/>
  </cols>
  <sheetData>
    <row r="1" spans="1:14" ht="30.75" customHeight="1" x14ac:dyDescent="0.35">
      <c r="A1" s="20" t="s">
        <v>0</v>
      </c>
      <c r="B1" s="20" t="s">
        <v>26</v>
      </c>
      <c r="C1" s="20" t="s">
        <v>27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13</v>
      </c>
    </row>
    <row r="2" spans="1:14" ht="14.5" x14ac:dyDescent="0.35">
      <c r="A2" s="16">
        <f ca="1">IFERROR(__xludf.dummyfunction("""COMPUTED_VALUE"""),99)</f>
        <v>99</v>
      </c>
      <c r="B2" s="3" t="str">
        <f ca="1">IFERROR(__xludf.dummyfunction("""COMPUTED_VALUE"""),"Zac Edge")</f>
        <v>Zac Edge</v>
      </c>
      <c r="C2" s="3" t="str">
        <f ca="1">IFERROR(__xludf.dummyfunction("""COMPUTED_VALUE"""),"Rishworth School")</f>
        <v>Rishworth School</v>
      </c>
      <c r="D2" s="16" t="s">
        <v>102</v>
      </c>
      <c r="E2" s="22">
        <f ca="1">IFERROR(__xludf.dummyfunction("iferror(1000+INT(($N$2-(index(split(D3,"":""),1)*60+index(split(D3,"":""),2 )))/0.2+1)*$N$3,"""")"),1252)</f>
        <v>1252</v>
      </c>
      <c r="F2" s="16">
        <f ca="1">IFERROR(_xlfn.RANK.EQ(E2,E:E),"")</f>
        <v>1</v>
      </c>
      <c r="G2" s="16" t="s">
        <v>103</v>
      </c>
      <c r="H2" s="22">
        <f ca="1">IFERROR(__xludf.dummyfunction("iferror(1000+INT(($N$4-(index(split(G3,"":""),1)*60+index(split(G3,"":""),2 )))/0.2+1)*$N$5,"""")"),1075)</f>
        <v>1075</v>
      </c>
      <c r="I2" s="16">
        <f ca="1">IFERROR(_xlfn.RANK.EQ(H2,H:H),"")</f>
        <v>1</v>
      </c>
      <c r="J2" s="22">
        <f ca="1">IF(AND(D2="", G2=""), "", E2+H2)</f>
        <v>2327</v>
      </c>
      <c r="K2" s="16">
        <f ca="1">IFERROR(_xlfn.RANK.EQ(J2,J:J),"")</f>
        <v>1</v>
      </c>
      <c r="L2" s="16"/>
      <c r="M2" s="21" t="s">
        <v>38</v>
      </c>
      <c r="N2" s="26">
        <f>VLOOKUP($L$1,'Scoring tables'!$A$2:$K$57,10,0)</f>
        <v>38</v>
      </c>
    </row>
    <row r="3" spans="1:14" ht="14.5" x14ac:dyDescent="0.35">
      <c r="A3" s="16">
        <f ca="1">IFERROR(__xludf.dummyfunction("Query(Entries!$A$2:$U$1205,""select A,C,D where B = '""&amp;L1&amp;""'"")"),98)</f>
        <v>98</v>
      </c>
      <c r="B3" s="3" t="str">
        <f ca="1">IFERROR(__xludf.dummyfunction("""COMPUTED_VALUE"""),"Joseph Bailey")</f>
        <v>Joseph Bailey</v>
      </c>
      <c r="C3" s="3" t="str">
        <f ca="1">IFERROR(__xludf.dummyfunction("""COMPUTED_VALUE"""),"Tettenhall College")</f>
        <v>Tettenhall College</v>
      </c>
      <c r="D3" s="16" t="s">
        <v>100</v>
      </c>
      <c r="E3" s="22">
        <f ca="1">IFERROR(__xludf.dummyfunction("iferror(1000+INT(($N$2-(index(split(D2,"":""),1)*60+index(split(D2,"":""),2 )))/0.2+1)*$N$3,"""")"),1114)</f>
        <v>1114</v>
      </c>
      <c r="F3" s="16">
        <f ca="1">IFERROR(_xlfn.RANK.EQ(E3,E:E),"")</f>
        <v>4</v>
      </c>
      <c r="G3" s="22" t="s">
        <v>101</v>
      </c>
      <c r="H3" s="22">
        <f ca="1">IFERROR(__xludf.dummyfunction("iferror(1000+INT(($N$4-(index(split(G2,"":""),1)*60+index(split(G2,"":""),2 )))/0.2+1)*$N$5,"""")"),979)</f>
        <v>979</v>
      </c>
      <c r="I3" s="16">
        <f ca="1">IFERROR(_xlfn.RANK.EQ(H3,H:H),"")</f>
        <v>2</v>
      </c>
      <c r="J3" s="22">
        <f t="shared" ref="J3:J23" ca="1" si="0">IF(AND(D3="", G3=""), "", E3+H3)</f>
        <v>2093</v>
      </c>
      <c r="K3" s="16">
        <f ca="1">IFERROR(_xlfn.RANK.EQ(J3,J:J),"")</f>
        <v>2</v>
      </c>
      <c r="L3" s="16"/>
      <c r="M3" s="21" t="s">
        <v>39</v>
      </c>
      <c r="N3" s="26">
        <f>VLOOKUP($L$1,'Scoring tables'!$A$2:$K$57,11,0)</f>
        <v>6</v>
      </c>
    </row>
    <row r="4" spans="1:14" ht="14.5" x14ac:dyDescent="0.35">
      <c r="A4" s="16">
        <f ca="1">IFERROR(__xludf.dummyfunction("""COMPUTED_VALUE"""),106)</f>
        <v>106</v>
      </c>
      <c r="B4" s="5" t="str">
        <f ca="1">IFERROR(__xludf.dummyfunction("""COMPUTED_VALUE"""),"Henry Talbot")</f>
        <v>Henry Talbot</v>
      </c>
      <c r="C4" s="5" t="str">
        <f ca="1">IFERROR(__xludf.dummyfunction("""COMPUTED_VALUE"""),"The King's School in Macclesfield")</f>
        <v>The King's School in Macclesfield</v>
      </c>
      <c r="D4" s="16" t="s">
        <v>115</v>
      </c>
      <c r="E4" s="22">
        <f ca="1">IFERROR(__xludf.dummyfunction("iferror(1000+INT(($N$2-(index(split(D10,"":""),1)*60+index(split(D10,"":""),2 )))/0.2+1)*$N$3,"""")"),1102)</f>
        <v>1102</v>
      </c>
      <c r="F4" s="16">
        <f ca="1">IFERROR(_xlfn.RANK.EQ(E4,E:E),"")</f>
        <v>5</v>
      </c>
      <c r="G4" s="16" t="s">
        <v>116</v>
      </c>
      <c r="H4" s="22">
        <f ca="1">IFERROR(__xludf.dummyfunction("iferror(1000+INT(($N$4-(index(split(G10,"":""),1)*60+index(split(G10,"":""),2 )))/0.2+1)*$N$5,"""")"),937)</f>
        <v>937</v>
      </c>
      <c r="I4" s="16">
        <f ca="1">IFERROR(_xlfn.RANK.EQ(H4,H:H),"")</f>
        <v>3</v>
      </c>
      <c r="J4" s="22">
        <f t="shared" ca="1" si="0"/>
        <v>2039</v>
      </c>
      <c r="K4" s="16">
        <f ca="1">IFERROR(_xlfn.RANK.EQ(J4,J:J),"")</f>
        <v>3</v>
      </c>
      <c r="L4" s="16"/>
      <c r="M4" s="21" t="s">
        <v>31</v>
      </c>
      <c r="N4" s="26">
        <f>VLOOKUP($L$1,'Scoring tables'!$A$2:$K$57,5,0)</f>
        <v>165</v>
      </c>
    </row>
    <row r="5" spans="1:14" ht="14.5" x14ac:dyDescent="0.35">
      <c r="A5" s="16">
        <f ca="1">IFERROR(__xludf.dummyfunction("""COMPUTED_VALUE"""),108)</f>
        <v>108</v>
      </c>
      <c r="B5" s="5" t="str">
        <f ca="1">IFERROR(__xludf.dummyfunction("""COMPUTED_VALUE"""),"Austin Smithey")</f>
        <v>Austin Smithey</v>
      </c>
      <c r="C5" s="5" t="str">
        <f ca="1">IFERROR(__xludf.dummyfunction("""COMPUTED_VALUE"""),"Manor CE Academy")</f>
        <v>Manor CE Academy</v>
      </c>
      <c r="D5" s="16" t="s">
        <v>119</v>
      </c>
      <c r="E5" s="22">
        <f ca="1">IFERROR(__xludf.dummyfunction("iferror(1000+INT(($N$2-(index(split(D12,"":""),1)*60+index(split(D12,"":""),2 )))/0.2+1)*$N$3,"""")"),1030)</f>
        <v>1030</v>
      </c>
      <c r="F5" s="16">
        <f ca="1">IFERROR(_xlfn.RANK.EQ(E5,E:E),"")</f>
        <v>7</v>
      </c>
      <c r="G5" s="16" t="s">
        <v>120</v>
      </c>
      <c r="H5" s="22">
        <f ca="1">IFERROR(__xludf.dummyfunction("iferror(1000+INT(($N$4-(index(split(G12,"":""),1)*60+index(split(G12,"":""),2 )))/0.2+1)*$N$5,"""")"),883)</f>
        <v>883</v>
      </c>
      <c r="I5" s="16">
        <f ca="1">IFERROR(_xlfn.RANK.EQ(H5,H:H),"")</f>
        <v>4</v>
      </c>
      <c r="J5" s="22">
        <f t="shared" ca="1" si="0"/>
        <v>1913</v>
      </c>
      <c r="K5" s="16">
        <f ca="1">IFERROR(_xlfn.RANK.EQ(J5,J:J),"")</f>
        <v>4</v>
      </c>
      <c r="L5" s="16"/>
      <c r="M5" s="21" t="s">
        <v>32</v>
      </c>
      <c r="N5" s="26">
        <f>VLOOKUP($L$1,'Scoring tables'!$A$2:$K$57,6,0)</f>
        <v>3</v>
      </c>
    </row>
    <row r="6" spans="1:14" ht="14.5" x14ac:dyDescent="0.35">
      <c r="A6" s="16">
        <f ca="1">IFERROR(__xludf.dummyfunction("""COMPUTED_VALUE"""),104)</f>
        <v>104</v>
      </c>
      <c r="B6" s="3" t="str">
        <f ca="1">IFERROR(__xludf.dummyfunction("""COMPUTED_VALUE"""),"Oliver Clarkson")</f>
        <v>Oliver Clarkson</v>
      </c>
      <c r="C6" s="3" t="str">
        <f ca="1">IFERROR(__xludf.dummyfunction("""COMPUTED_VALUE"""),"Bowland High School")</f>
        <v>Bowland High School</v>
      </c>
      <c r="D6" s="23" t="s">
        <v>111</v>
      </c>
      <c r="E6" s="22">
        <f ca="1">IFERROR(__xludf.dummyfunction("iferror(1000+INT(($N$2-(index(split(D8,"":""),1)*60+index(split(D8,"":""),2 )))/0.2+1)*$N$3,"""")"),1144)</f>
        <v>1144</v>
      </c>
      <c r="F6" s="16">
        <f ca="1">IFERROR(_xlfn.RANK.EQ(E6,E:E),"")</f>
        <v>3</v>
      </c>
      <c r="G6" s="16" t="s">
        <v>112</v>
      </c>
      <c r="H6" s="22">
        <f ca="1">IFERROR(__xludf.dummyfunction("iferror(1000+INT(($N$4-(index(split(G8,"":""),1)*60+index(split(G8,"":""),2 )))/0.2+1)*$N$5,"""")"),739)</f>
        <v>739</v>
      </c>
      <c r="I6" s="16">
        <f ca="1">IFERROR(_xlfn.RANK.EQ(H6,H:H),"")</f>
        <v>8</v>
      </c>
      <c r="J6" s="22">
        <f t="shared" ca="1" si="0"/>
        <v>1883</v>
      </c>
      <c r="K6" s="16">
        <f ca="1">IFERROR(_xlfn.RANK.EQ(J6,J:J),"")</f>
        <v>5</v>
      </c>
      <c r="L6" s="16"/>
    </row>
    <row r="7" spans="1:14" ht="14.5" x14ac:dyDescent="0.35">
      <c r="A7" s="16">
        <f ca="1">IFERROR(__xludf.dummyfunction("""COMPUTED_VALUE"""),101)</f>
        <v>101</v>
      </c>
      <c r="B7" s="3" t="str">
        <f ca="1">IFERROR(__xludf.dummyfunction("""COMPUTED_VALUE"""),"Rory Murch")</f>
        <v>Rory Murch</v>
      </c>
      <c r="C7" s="3" t="str">
        <f ca="1">IFERROR(__xludf.dummyfunction("""COMPUTED_VALUE"""),"Broughton Business &amp; Enterprise College")</f>
        <v>Broughton Business &amp; Enterprise College</v>
      </c>
      <c r="D7" s="16" t="s">
        <v>106</v>
      </c>
      <c r="E7" s="22">
        <f ca="1">IFERROR(__xludf.dummyfunction("iferror(1000+INT(($N$2-(index(split(D5,"":""),1)*60+index(split(D5,"":""),2 )))/0.2+1)*$N$3,"""")"),1102)</f>
        <v>1102</v>
      </c>
      <c r="F7" s="16">
        <f ca="1">IFERROR(_xlfn.RANK.EQ(E7,E:E),"")</f>
        <v>5</v>
      </c>
      <c r="G7" s="16" t="s">
        <v>107</v>
      </c>
      <c r="H7" s="22">
        <f ca="1">IFERROR(__xludf.dummyfunction("iferror(1000+INT(($N$4-(index(split(G5,"":""),1)*60+index(split(G5,"":""),2 )))/0.2+1)*$N$5,"""")"),634)</f>
        <v>634</v>
      </c>
      <c r="I7" s="16">
        <f ca="1">IFERROR(_xlfn.RANK.EQ(H7,H:H),"")</f>
        <v>10</v>
      </c>
      <c r="J7" s="22">
        <f t="shared" ca="1" si="0"/>
        <v>1736</v>
      </c>
      <c r="K7" s="16">
        <f ca="1">IFERROR(_xlfn.RANK.EQ(J7,J:J),"")</f>
        <v>6</v>
      </c>
      <c r="L7" s="16"/>
    </row>
    <row r="8" spans="1:14" ht="14.5" x14ac:dyDescent="0.35">
      <c r="A8" s="16">
        <f ca="1">IFERROR(__xludf.dummyfunction("""COMPUTED_VALUE"""),100)</f>
        <v>100</v>
      </c>
      <c r="B8" s="3" t="str">
        <f ca="1">IFERROR(__xludf.dummyfunction("""COMPUTED_VALUE"""),"James Hibberd")</f>
        <v>James Hibberd</v>
      </c>
      <c r="C8" s="3" t="str">
        <f ca="1">IFERROR(__xludf.dummyfunction("""COMPUTED_VALUE"""),"Westholme School")</f>
        <v>Westholme School</v>
      </c>
      <c r="D8" s="16" t="s">
        <v>104</v>
      </c>
      <c r="E8" s="22">
        <f ca="1">IFERROR(__xludf.dummyfunction("iferror(1000+INT(($N$2-(index(split(D4,"":""),1)*60+index(split(D4,"":""),2 )))/0.2+1)*$N$3,"""")"),1150)</f>
        <v>1150</v>
      </c>
      <c r="F8" s="16">
        <f ca="1">IFERROR(_xlfn.RANK.EQ(E8,E:E),"")</f>
        <v>2</v>
      </c>
      <c r="G8" s="16" t="s">
        <v>105</v>
      </c>
      <c r="H8" s="22">
        <f ca="1">IFERROR(__xludf.dummyfunction("iferror(1000+INT(($N$4-(index(split(G4,"":""),1)*60+index(split(G4,"":""),2 )))/0.2+1)*$N$5,"""")"),562)</f>
        <v>562</v>
      </c>
      <c r="I8" s="16">
        <f ca="1">IFERROR(_xlfn.RANK.EQ(H8,H:H),"")</f>
        <v>11</v>
      </c>
      <c r="J8" s="22">
        <f t="shared" ca="1" si="0"/>
        <v>1712</v>
      </c>
      <c r="K8" s="16">
        <f ca="1">IFERROR(_xlfn.RANK.EQ(J8,J:J),"")</f>
        <v>7</v>
      </c>
      <c r="L8" s="16"/>
    </row>
    <row r="9" spans="1:14" ht="14.5" x14ac:dyDescent="0.35">
      <c r="A9" s="16">
        <f ca="1">IFERROR(__xludf.dummyfunction("""COMPUTED_VALUE"""),103)</f>
        <v>103</v>
      </c>
      <c r="B9" s="3" t="str">
        <f ca="1">IFERROR(__xludf.dummyfunction("""COMPUTED_VALUE"""),"Oliver Millatt")</f>
        <v>Oliver Millatt</v>
      </c>
      <c r="C9" s="3" t="str">
        <f ca="1">IFERROR(__xludf.dummyfunction("""COMPUTED_VALUE"""),"Ripley St Thomas CE Academy")</f>
        <v>Ripley St Thomas CE Academy</v>
      </c>
      <c r="D9" s="16" t="s">
        <v>109</v>
      </c>
      <c r="E9" s="22">
        <f ca="1">IFERROR(__xludf.dummyfunction("iferror(1000+INT(($N$2-(index(split(D7,"":""),1)*60+index(split(D7,"":""),2 )))/0.2+1)*$N$3,"""")"),994)</f>
        <v>994</v>
      </c>
      <c r="F9" s="16">
        <f ca="1">IFERROR(_xlfn.RANK.EQ(E9,E:E),"")</f>
        <v>8</v>
      </c>
      <c r="G9" s="16" t="s">
        <v>110</v>
      </c>
      <c r="H9" s="22">
        <f ca="1">IFERROR(__xludf.dummyfunction("iferror(1000+INT(($N$4-(index(split(G7,"":""),1)*60+index(split(G7,"":""),2 )))/0.2+1)*$N$5,"""")"),670)</f>
        <v>670</v>
      </c>
      <c r="I9" s="16">
        <f ca="1">IFERROR(_xlfn.RANK.EQ(H9,H:H),"")</f>
        <v>9</v>
      </c>
      <c r="J9" s="22">
        <f t="shared" ca="1" si="0"/>
        <v>1664</v>
      </c>
      <c r="K9" s="16">
        <f ca="1">IFERROR(_xlfn.RANK.EQ(J9,J:J),"")</f>
        <v>8</v>
      </c>
      <c r="L9" s="16"/>
    </row>
    <row r="10" spans="1:14" ht="14.5" x14ac:dyDescent="0.35">
      <c r="A10" s="16">
        <f ca="1">IFERROR(__xludf.dummyfunction("""COMPUTED_VALUE"""),107)</f>
        <v>107</v>
      </c>
      <c r="B10" s="5" t="str">
        <f ca="1">IFERROR(__xludf.dummyfunction("""COMPUTED_VALUE"""),"Oscar Scott")</f>
        <v>Oscar Scott</v>
      </c>
      <c r="C10" s="5" t="str">
        <f ca="1">IFERROR(__xludf.dummyfunction("""COMPUTED_VALUE"""),"Durham Johnston Comprehensive")</f>
        <v>Durham Johnston Comprehensive</v>
      </c>
      <c r="D10" s="16" t="s">
        <v>117</v>
      </c>
      <c r="E10" s="22">
        <f ca="1">IFERROR(__xludf.dummyfunction("iferror(1000+INT(($N$2-(index(split(D11,"":""),1)*60+index(split(D11,"":""),2 )))/0.2+1)*$N$3,"""")"),712)</f>
        <v>712</v>
      </c>
      <c r="F10" s="16">
        <f ca="1">IFERROR(_xlfn.RANK.EQ(E10,E:E),"")</f>
        <v>9</v>
      </c>
      <c r="G10" s="16" t="s">
        <v>118</v>
      </c>
      <c r="H10" s="22">
        <f ca="1">IFERROR(__xludf.dummyfunction("iferror(1000+INT(($N$4-(index(split(G11,"":""),1)*60+index(split(G11,"":""),2 )))/0.2+1)*$N$5,"""")"),814)</f>
        <v>814</v>
      </c>
      <c r="I10" s="16">
        <f ca="1">IFERROR(_xlfn.RANK.EQ(H10,H:H),"")</f>
        <v>6</v>
      </c>
      <c r="J10" s="22">
        <f t="shared" ca="1" si="0"/>
        <v>1526</v>
      </c>
      <c r="K10" s="16">
        <f ca="1">IFERROR(_xlfn.RANK.EQ(J10,J:J),"")</f>
        <v>9</v>
      </c>
      <c r="L10" s="16"/>
    </row>
    <row r="11" spans="1:14" ht="14.5" x14ac:dyDescent="0.35">
      <c r="A11" s="16">
        <f ca="1">IFERROR(__xludf.dummyfunction("""COMPUTED_VALUE"""),109)</f>
        <v>109</v>
      </c>
      <c r="B11" s="5" t="str">
        <f ca="1">IFERROR(__xludf.dummyfunction("""COMPUTED_VALUE"""),"Jacob Li")</f>
        <v>Jacob Li</v>
      </c>
      <c r="C11" s="5" t="str">
        <f ca="1">IFERROR(__xludf.dummyfunction("""COMPUTED_VALUE"""),"Durham Johnston Comprehensive")</f>
        <v>Durham Johnston Comprehensive</v>
      </c>
      <c r="D11" s="16" t="s">
        <v>121</v>
      </c>
      <c r="E11" s="22">
        <f ca="1">IFERROR(__xludf.dummyfunction("iferror(1000+INT(($N$2-(index(split(D13,"":""),1)*60+index(split(D13,"":""),2 )))/0.2+1)*$N$3,"""")"),400)</f>
        <v>400</v>
      </c>
      <c r="F11" s="16">
        <f ca="1">IFERROR(_xlfn.RANK.EQ(E11,E:E),"")</f>
        <v>10</v>
      </c>
      <c r="G11" s="16" t="s">
        <v>122</v>
      </c>
      <c r="H11" s="22">
        <f ca="1">IFERROR(__xludf.dummyfunction("iferror(1000+INT(($N$4-(index(split(G13,"":""),1)*60+index(split(G13,"":""),2 )))/0.2+1)*$N$5,"""")"),763)</f>
        <v>763</v>
      </c>
      <c r="I11" s="16">
        <f ca="1">IFERROR(_xlfn.RANK.EQ(H11,H:H),"")</f>
        <v>7</v>
      </c>
      <c r="J11" s="22">
        <f t="shared" ca="1" si="0"/>
        <v>1163</v>
      </c>
      <c r="K11" s="16">
        <f ca="1">IFERROR(_xlfn.RANK.EQ(J11,J:J),"")</f>
        <v>10</v>
      </c>
      <c r="L11" s="16"/>
    </row>
    <row r="12" spans="1:14" ht="14.5" x14ac:dyDescent="0.35">
      <c r="A12" s="16">
        <f ca="1">IFERROR(__xludf.dummyfunction("""COMPUTED_VALUE"""),105)</f>
        <v>105</v>
      </c>
      <c r="B12" s="5" t="str">
        <f ca="1">IFERROR(__xludf.dummyfunction("""COMPUTED_VALUE"""),"Felix Hutchinson")</f>
        <v>Felix Hutchinson</v>
      </c>
      <c r="C12" s="5" t="str">
        <f ca="1">IFERROR(__xludf.dummyfunction("""COMPUTED_VALUE"""),"Durham Johnston Comprehensive")</f>
        <v>Durham Johnston Comprehensive</v>
      </c>
      <c r="D12" s="16" t="s">
        <v>113</v>
      </c>
      <c r="E12" s="22">
        <f ca="1">IFERROR(__xludf.dummyfunction("iferror(1000+INT(($N$2-(index(split(D9,"":""),1)*60+index(split(D9,"":""),2 )))/0.2+1)*$N$3,"""")"),298)</f>
        <v>298</v>
      </c>
      <c r="F12" s="16">
        <f ca="1">IFERROR(_xlfn.RANK.EQ(E12,E:E),"")</f>
        <v>11</v>
      </c>
      <c r="G12" s="16" t="s">
        <v>114</v>
      </c>
      <c r="H12" s="22">
        <f ca="1">IFERROR(__xludf.dummyfunction("iferror(1000+INT(($N$4-(index(split(G9,"":""),1)*60+index(split(G9,"":""),2 )))/0.2+1)*$N$5,"""")"),832)</f>
        <v>832</v>
      </c>
      <c r="I12" s="16">
        <f ca="1">IFERROR(_xlfn.RANK.EQ(H12,H:H),"")</f>
        <v>5</v>
      </c>
      <c r="J12" s="22">
        <f t="shared" ca="1" si="0"/>
        <v>1130</v>
      </c>
      <c r="K12" s="16">
        <f ca="1">IFERROR(_xlfn.RANK.EQ(J12,J:J),"")</f>
        <v>11</v>
      </c>
      <c r="L12" s="16"/>
    </row>
    <row r="13" spans="1:14" ht="14.5" x14ac:dyDescent="0.35">
      <c r="A13" s="28">
        <f ca="1">IFERROR(__xludf.dummyfunction("""COMPUTED_VALUE"""),102)</f>
        <v>102</v>
      </c>
      <c r="B13" s="33" t="str">
        <f ca="1">IFERROR(__xludf.dummyfunction("""COMPUTED_VALUE"""),"Alfie Callaghan")</f>
        <v>Alfie Callaghan</v>
      </c>
      <c r="C13" s="33" t="str">
        <f ca="1">IFERROR(__xludf.dummyfunction("""COMPUTED_VALUE"""),"Cardinal Allen Catholic High School")</f>
        <v>Cardinal Allen Catholic High School</v>
      </c>
      <c r="D13" s="28"/>
      <c r="E13" s="30" t="str">
        <f ca="1">IFERROR(__xludf.dummyfunction("iferror(1000+INT(($N$2-(index(split(D6,"":""),1)*60+index(split(D6,"":""),2 )))/0.2+1)*$N$3,"""")"),"")</f>
        <v/>
      </c>
      <c r="F13" s="28" t="str">
        <f ca="1">IFERROR(_xlfn.RANK.EQ(E13,E:E),"")</f>
        <v/>
      </c>
      <c r="G13" s="28" t="s">
        <v>108</v>
      </c>
      <c r="H13" s="30">
        <f ca="1">IFERROR(__xludf.dummyfunction("iferror(1000+INT(($N$4-(index(split(G6,"":""),1)*60+index(split(G6,"":""),2 )))/0.2+1)*$N$5,"""")"),127)</f>
        <v>127</v>
      </c>
      <c r="I13" s="28">
        <f ca="1">IFERROR(_xlfn.RANK.EQ(H13,H:H),"")</f>
        <v>12</v>
      </c>
      <c r="J13" s="30"/>
      <c r="K13" s="28" t="s">
        <v>444</v>
      </c>
      <c r="L13" s="16"/>
    </row>
    <row r="14" spans="1:14" ht="14.5" x14ac:dyDescent="0.35">
      <c r="A14" s="16"/>
      <c r="B14" s="16"/>
      <c r="C14" s="16"/>
      <c r="D14" s="16"/>
      <c r="E14" s="22" t="str">
        <f ca="1">IFERROR(__xludf.dummyfunction("iferror(1000+INT(($N$2-(index(split(D14,"":""),1)*60+index(split(D14,"":""),2 )))/0.2+1)*$N$3,"""")"),"")</f>
        <v/>
      </c>
      <c r="F14" s="16" t="str">
        <f t="shared" ref="F2:F33" ca="1" si="1">IFERROR(_xlfn.RANK.EQ(E14,E:E),"")</f>
        <v/>
      </c>
      <c r="G14" s="16"/>
      <c r="H14" s="22" t="str">
        <f ca="1">IFERROR(__xludf.dummyfunction("iferror(1000+INT(($N$4-(index(split(G14,"":""),1)*60+index(split(G14,"":""),2 )))/0.2+1)*$N$5,"""")"),"")</f>
        <v/>
      </c>
      <c r="I14" s="16" t="str">
        <f t="shared" ref="I2:I33" ca="1" si="2">IFERROR(_xlfn.RANK.EQ(H14,H:H),"")</f>
        <v/>
      </c>
      <c r="J14" s="22" t="str">
        <f t="shared" si="0"/>
        <v/>
      </c>
      <c r="K14" s="16" t="str">
        <f t="shared" ref="K2:K33" si="3">IFERROR(_xlfn.RANK.EQ(J14,J:J),"")</f>
        <v/>
      </c>
      <c r="L14" s="16"/>
    </row>
    <row r="15" spans="1:14" ht="14.5" x14ac:dyDescent="0.35">
      <c r="A15" s="16"/>
      <c r="B15" s="16"/>
      <c r="C15" s="16"/>
      <c r="D15" s="16"/>
      <c r="E15" s="22" t="str">
        <f ca="1">IFERROR(__xludf.dummyfunction("iferror(1000+INT(($N$2-(index(split(D15,"":""),1)*60+index(split(D15,"":""),2 )))/0.2+1)*$N$3,"""")"),"")</f>
        <v/>
      </c>
      <c r="F15" s="16" t="str">
        <f t="shared" ca="1" si="1"/>
        <v/>
      </c>
      <c r="G15" s="16"/>
      <c r="H15" s="22" t="str">
        <f ca="1">IFERROR(__xludf.dummyfunction("iferror(1000+INT(($N$4-(index(split(G15,"":""),1)*60+index(split(G15,"":""),2 )))/0.2+1)*$N$5,"""")"),"")</f>
        <v/>
      </c>
      <c r="I15" s="16" t="str">
        <f t="shared" ca="1" si="2"/>
        <v/>
      </c>
      <c r="J15" s="22" t="str">
        <f t="shared" si="0"/>
        <v/>
      </c>
      <c r="K15" s="16" t="str">
        <f t="shared" si="3"/>
        <v/>
      </c>
      <c r="L15" s="16"/>
    </row>
    <row r="16" spans="1:14" ht="14.5" x14ac:dyDescent="0.35">
      <c r="A16" s="16"/>
      <c r="B16" s="16"/>
      <c r="C16" s="16"/>
      <c r="D16" s="16"/>
      <c r="E16" s="22" t="str">
        <f ca="1">IFERROR(__xludf.dummyfunction("iferror(1000+INT(($N$2-(index(split(D16,"":""),1)*60+index(split(D16,"":""),2 )))/0.2+1)*$N$3,"""")"),"")</f>
        <v/>
      </c>
      <c r="F16" s="16" t="str">
        <f t="shared" ca="1" si="1"/>
        <v/>
      </c>
      <c r="G16" s="16"/>
      <c r="H16" s="22" t="str">
        <f ca="1">IFERROR(__xludf.dummyfunction("iferror(1000+INT(($N$4-(index(split(G16,"":""),1)*60+index(split(G16,"":""),2 )))/0.2+1)*$N$5,"""")"),"")</f>
        <v/>
      </c>
      <c r="I16" s="16" t="str">
        <f t="shared" ca="1" si="2"/>
        <v/>
      </c>
      <c r="J16" s="22" t="str">
        <f t="shared" si="0"/>
        <v/>
      </c>
      <c r="K16" s="16" t="str">
        <f t="shared" si="3"/>
        <v/>
      </c>
      <c r="L16" s="16"/>
    </row>
    <row r="17" spans="1:12" ht="14.5" x14ac:dyDescent="0.35">
      <c r="A17" s="16"/>
      <c r="B17" s="16"/>
      <c r="C17" s="16"/>
      <c r="D17" s="16"/>
      <c r="E17" s="22" t="str">
        <f ca="1">IFERROR(__xludf.dummyfunction("iferror(1000+INT(($N$2-(index(split(D17,"":""),1)*60+index(split(D17,"":""),2 )))/0.2+1)*$N$3,"""")"),"")</f>
        <v/>
      </c>
      <c r="F17" s="16" t="str">
        <f t="shared" ca="1" si="1"/>
        <v/>
      </c>
      <c r="G17" s="16"/>
      <c r="H17" s="22" t="str">
        <f ca="1">IFERROR(__xludf.dummyfunction("iferror(1000+INT(($N$4-(index(split(G17,"":""),1)*60+index(split(G17,"":""),2 )))/0.2+1)*$N$5,"""")"),"")</f>
        <v/>
      </c>
      <c r="I17" s="16" t="str">
        <f t="shared" ca="1" si="2"/>
        <v/>
      </c>
      <c r="J17" s="22" t="str">
        <f t="shared" si="0"/>
        <v/>
      </c>
      <c r="K17" s="16" t="str">
        <f t="shared" si="3"/>
        <v/>
      </c>
      <c r="L17" s="16"/>
    </row>
    <row r="18" spans="1:12" ht="14.5" x14ac:dyDescent="0.35">
      <c r="A18" s="16"/>
      <c r="B18" s="16"/>
      <c r="C18" s="16"/>
      <c r="D18" s="16"/>
      <c r="E18" s="22" t="str">
        <f ca="1">IFERROR(__xludf.dummyfunction("iferror(1000+INT(($N$2-(index(split(D18,"":""),1)*60+index(split(D18,"":""),2 )))/0.2+1)*$N$3,"""")"),"")</f>
        <v/>
      </c>
      <c r="F18" s="16" t="str">
        <f t="shared" ca="1" si="1"/>
        <v/>
      </c>
      <c r="G18" s="16"/>
      <c r="H18" s="22" t="str">
        <f ca="1">IFERROR(__xludf.dummyfunction("iferror(1000+INT(($N$4-(index(split(G18,"":""),1)*60+index(split(G18,"":""),2 )))/0.2+1)*$N$5,"""")"),"")</f>
        <v/>
      </c>
      <c r="I18" s="16" t="str">
        <f t="shared" ca="1" si="2"/>
        <v/>
      </c>
      <c r="J18" s="22" t="str">
        <f t="shared" si="0"/>
        <v/>
      </c>
      <c r="K18" s="16" t="str">
        <f t="shared" si="3"/>
        <v/>
      </c>
      <c r="L18" s="16"/>
    </row>
    <row r="19" spans="1:12" ht="14.5" x14ac:dyDescent="0.35">
      <c r="A19" s="16"/>
      <c r="B19" s="16"/>
      <c r="C19" s="16"/>
      <c r="D19" s="16"/>
      <c r="E19" s="22" t="str">
        <f ca="1">IFERROR(__xludf.dummyfunction("iferror(1000+INT(($N$2-(index(split(D19,"":""),1)*60+index(split(D19,"":""),2 )))/0.2+1)*$N$3,"""")"),"")</f>
        <v/>
      </c>
      <c r="F19" s="16" t="str">
        <f t="shared" ca="1" si="1"/>
        <v/>
      </c>
      <c r="G19" s="16"/>
      <c r="H19" s="22" t="str">
        <f ca="1">IFERROR(__xludf.dummyfunction("iferror(1000+INT(($N$4-(index(split(G19,"":""),1)*60+index(split(G19,"":""),2 )))/0.2+1)*$N$5,"""")"),"")</f>
        <v/>
      </c>
      <c r="I19" s="16" t="str">
        <f t="shared" ca="1" si="2"/>
        <v/>
      </c>
      <c r="J19" s="22" t="str">
        <f t="shared" si="0"/>
        <v/>
      </c>
      <c r="K19" s="16" t="str">
        <f t="shared" si="3"/>
        <v/>
      </c>
      <c r="L19" s="16"/>
    </row>
    <row r="20" spans="1:12" ht="14.5" x14ac:dyDescent="0.35">
      <c r="A20" s="16"/>
      <c r="B20" s="16"/>
      <c r="C20" s="16"/>
      <c r="D20" s="16"/>
      <c r="E20" s="22" t="str">
        <f ca="1">IFERROR(__xludf.dummyfunction("iferror(1000+INT(($N$2-(index(split(D20,"":""),1)*60+index(split(D20,"":""),2 )))/0.2+1)*$N$3,"""")"),"")</f>
        <v/>
      </c>
      <c r="F20" s="16" t="str">
        <f t="shared" ca="1" si="1"/>
        <v/>
      </c>
      <c r="G20" s="16"/>
      <c r="H20" s="22" t="str">
        <f ca="1">IFERROR(__xludf.dummyfunction("iferror(1000+INT(($N$4-(index(split(G20,"":""),1)*60+index(split(G20,"":""),2 )))/0.2+1)*$N$5,"""")"),"")</f>
        <v/>
      </c>
      <c r="I20" s="16" t="str">
        <f t="shared" ca="1" si="2"/>
        <v/>
      </c>
      <c r="J20" s="22" t="str">
        <f t="shared" si="0"/>
        <v/>
      </c>
      <c r="K20" s="16" t="str">
        <f t="shared" si="3"/>
        <v/>
      </c>
      <c r="L20" s="16"/>
    </row>
    <row r="21" spans="1:12" ht="14.5" x14ac:dyDescent="0.35">
      <c r="A21" s="16"/>
      <c r="B21" s="16"/>
      <c r="C21" s="16"/>
      <c r="D21" s="16"/>
      <c r="E21" s="22" t="str">
        <f ca="1">IFERROR(__xludf.dummyfunction("iferror(1000+INT(($N$2-(index(split(D21,"":""),1)*60+index(split(D21,"":""),2 )))/0.2+1)*$N$3,"""")"),"")</f>
        <v/>
      </c>
      <c r="F21" s="16" t="str">
        <f t="shared" ca="1" si="1"/>
        <v/>
      </c>
      <c r="G21" s="16"/>
      <c r="H21" s="22" t="str">
        <f ca="1">IFERROR(__xludf.dummyfunction("iferror(1000+INT(($N$4-(index(split(G21,"":""),1)*60+index(split(G21,"":""),2 )))/0.2+1)*$N$5,"""")"),"")</f>
        <v/>
      </c>
      <c r="I21" s="16" t="str">
        <f t="shared" ca="1" si="2"/>
        <v/>
      </c>
      <c r="J21" s="22" t="str">
        <f t="shared" si="0"/>
        <v/>
      </c>
      <c r="K21" s="16" t="str">
        <f t="shared" si="3"/>
        <v/>
      </c>
      <c r="L21" s="16"/>
    </row>
    <row r="22" spans="1:12" ht="14.5" x14ac:dyDescent="0.35">
      <c r="A22" s="16"/>
      <c r="B22" s="16"/>
      <c r="C22" s="16"/>
      <c r="D22" s="16"/>
      <c r="E22" s="22" t="str">
        <f ca="1">IFERROR(__xludf.dummyfunction("iferror(1000+INT(($N$2-(index(split(D22,"":""),1)*60+index(split(D22,"":""),2 )))/0.2+1)*$N$3,"""")"),"")</f>
        <v/>
      </c>
      <c r="F22" s="16" t="str">
        <f t="shared" ca="1" si="1"/>
        <v/>
      </c>
      <c r="G22" s="16"/>
      <c r="H22" s="22" t="str">
        <f ca="1">IFERROR(__xludf.dummyfunction("iferror(1000+INT(($N$4-(index(split(G22,"":""),1)*60+index(split(G22,"":""),2 )))/0.2+1)*$N$5,"""")"),"")</f>
        <v/>
      </c>
      <c r="I22" s="16" t="str">
        <f t="shared" ca="1" si="2"/>
        <v/>
      </c>
      <c r="J22" s="22" t="str">
        <f t="shared" si="0"/>
        <v/>
      </c>
      <c r="K22" s="16" t="str">
        <f t="shared" si="3"/>
        <v/>
      </c>
      <c r="L22" s="16"/>
    </row>
    <row r="23" spans="1:12" ht="14.5" x14ac:dyDescent="0.35">
      <c r="A23" s="16"/>
      <c r="B23" s="16"/>
      <c r="C23" s="16"/>
      <c r="D23" s="16"/>
      <c r="E23" s="22" t="str">
        <f ca="1">IFERROR(__xludf.dummyfunction("iferror(1000+INT(($N$2-(index(split(D23,"":""),1)*60+index(split(D23,"":""),2 )))/0.2+1)*$N$3,"""")"),"")</f>
        <v/>
      </c>
      <c r="F23" s="16" t="str">
        <f t="shared" ca="1" si="1"/>
        <v/>
      </c>
      <c r="G23" s="16"/>
      <c r="H23" s="22" t="str">
        <f ca="1">IFERROR(__xludf.dummyfunction("iferror(1000+INT(($N$4-(index(split(G23,"":""),1)*60+index(split(G23,"":""),2 )))/0.2+1)*$N$5,"""")"),"")</f>
        <v/>
      </c>
      <c r="I23" s="16" t="str">
        <f t="shared" ca="1" si="2"/>
        <v/>
      </c>
      <c r="J23" s="22" t="str">
        <f t="shared" si="0"/>
        <v/>
      </c>
      <c r="K23" s="16" t="str">
        <f t="shared" si="3"/>
        <v/>
      </c>
      <c r="L23" s="16"/>
    </row>
    <row r="24" spans="1:12" ht="14.5" x14ac:dyDescent="0.35">
      <c r="A24" s="16"/>
      <c r="B24" s="16"/>
      <c r="C24" s="16"/>
      <c r="D24" s="16"/>
      <c r="E24" s="22" t="str">
        <f ca="1">IFERROR(__xludf.dummyfunction("iferror(1000+INT(($N$2-(index(split(D24,"":""),1)*60+index(split(D24,"":""),2 )))/0.2+1)*$N$3,"""")"),"")</f>
        <v/>
      </c>
      <c r="F24" s="16" t="str">
        <f t="shared" ca="1" si="1"/>
        <v/>
      </c>
      <c r="G24" s="16"/>
      <c r="H24" s="22" t="str">
        <f ca="1">IFERROR(__xludf.dummyfunction("iferror(1000+INT(($N$4-(index(split(G24,"":""),1)*60+index(split(G24,"":""),2 )))/0.2+1)*$N$5,"""")"),"")</f>
        <v/>
      </c>
      <c r="I24" s="16" t="str">
        <f t="shared" ca="1" si="2"/>
        <v/>
      </c>
      <c r="J24" s="16" t="str">
        <f t="shared" ref="J2:J33" si="4">IF(AND(D24="", G24=""), "", E24+H24)</f>
        <v/>
      </c>
      <c r="K24" s="16" t="str">
        <f t="shared" si="3"/>
        <v/>
      </c>
      <c r="L24" s="16"/>
    </row>
    <row r="25" spans="1:12" ht="14.5" x14ac:dyDescent="0.35">
      <c r="A25" s="16"/>
      <c r="B25" s="16"/>
      <c r="C25" s="16"/>
      <c r="D25" s="16"/>
      <c r="E25" s="22" t="str">
        <f ca="1">IFERROR(__xludf.dummyfunction("iferror(1000+INT(($N$2-(index(split(D25,"":""),1)*60+index(split(D25,"":""),2 )))/0.2+1)*$N$3,"""")"),"")</f>
        <v/>
      </c>
      <c r="F25" s="16" t="str">
        <f t="shared" ca="1" si="1"/>
        <v/>
      </c>
      <c r="G25" s="16"/>
      <c r="H25" s="22" t="str">
        <f ca="1">IFERROR(__xludf.dummyfunction("iferror(1000+INT(($N$4-(index(split(G25,"":""),1)*60+index(split(G25,"":""),2 )))/0.2+1)*$N$5,"""")"),"")</f>
        <v/>
      </c>
      <c r="I25" s="16" t="str">
        <f t="shared" ca="1" si="2"/>
        <v/>
      </c>
      <c r="J25" s="16" t="str">
        <f t="shared" si="4"/>
        <v/>
      </c>
      <c r="K25" s="16" t="str">
        <f t="shared" si="3"/>
        <v/>
      </c>
      <c r="L25" s="16"/>
    </row>
    <row r="26" spans="1:12" ht="14.5" x14ac:dyDescent="0.35">
      <c r="A26" s="16"/>
      <c r="B26" s="16"/>
      <c r="C26" s="16"/>
      <c r="D26" s="16"/>
      <c r="E26" s="22" t="str">
        <f ca="1">IFERROR(__xludf.dummyfunction("iferror(1000+INT(($N$2-(index(split(D26,"":""),1)*60+index(split(D26,"":""),2 )))/0.2+1)*$N$3,"""")"),"")</f>
        <v/>
      </c>
      <c r="F26" s="16" t="str">
        <f t="shared" ca="1" si="1"/>
        <v/>
      </c>
      <c r="G26" s="16"/>
      <c r="H26" s="22" t="str">
        <f ca="1">IFERROR(__xludf.dummyfunction("iferror(1000+INT(($N$4-(index(split(G26,"":""),1)*60+index(split(G26,"":""),2 )))/0.2+1)*$N$5,"""")"),"")</f>
        <v/>
      </c>
      <c r="I26" s="16" t="str">
        <f t="shared" ca="1" si="2"/>
        <v/>
      </c>
      <c r="J26" s="16" t="str">
        <f t="shared" si="4"/>
        <v/>
      </c>
      <c r="K26" s="16" t="str">
        <f t="shared" si="3"/>
        <v/>
      </c>
      <c r="L26" s="16"/>
    </row>
    <row r="27" spans="1:12" ht="14.5" x14ac:dyDescent="0.35">
      <c r="A27" s="16"/>
      <c r="B27" s="16"/>
      <c r="C27" s="16"/>
      <c r="D27" s="16"/>
      <c r="E27" s="22" t="str">
        <f ca="1">IFERROR(__xludf.dummyfunction("iferror(1000+INT(($N$2-(index(split(D27,"":""),1)*60+index(split(D27,"":""),2 )))/0.2+1)*$N$3,"""")"),"")</f>
        <v/>
      </c>
      <c r="F27" s="16" t="str">
        <f t="shared" ca="1" si="1"/>
        <v/>
      </c>
      <c r="G27" s="16"/>
      <c r="H27" s="22" t="str">
        <f ca="1">IFERROR(__xludf.dummyfunction("iferror(1000+INT(($N$4-(index(split(G27,"":""),1)*60+index(split(G27,"":""),2 )))/0.2+1)*$N$5,"""")"),"")</f>
        <v/>
      </c>
      <c r="I27" s="16" t="str">
        <f t="shared" ca="1" si="2"/>
        <v/>
      </c>
      <c r="J27" s="16" t="str">
        <f t="shared" si="4"/>
        <v/>
      </c>
      <c r="K27" s="16" t="str">
        <f t="shared" si="3"/>
        <v/>
      </c>
      <c r="L27" s="16"/>
    </row>
    <row r="28" spans="1:12" ht="14.5" x14ac:dyDescent="0.35">
      <c r="A28" s="16"/>
      <c r="B28" s="16"/>
      <c r="C28" s="16"/>
      <c r="D28" s="16"/>
      <c r="E28" s="22" t="str">
        <f ca="1">IFERROR(__xludf.dummyfunction("iferror(1000+INT(($N$2-(index(split(D28,"":""),1)*60+index(split(D28,"":""),2 )))/0.2+1)*$N$3,"""")"),"")</f>
        <v/>
      </c>
      <c r="F28" s="16" t="str">
        <f t="shared" ca="1" si="1"/>
        <v/>
      </c>
      <c r="G28" s="16"/>
      <c r="H28" s="22" t="str">
        <f ca="1">IFERROR(__xludf.dummyfunction("iferror(1000+INT(($N$4-(index(split(G28,"":""),1)*60+index(split(G28,"":""),2 )))/0.2+1)*$N$5,"""")"),"")</f>
        <v/>
      </c>
      <c r="I28" s="16" t="str">
        <f t="shared" ca="1" si="2"/>
        <v/>
      </c>
      <c r="J28" s="16" t="str">
        <f t="shared" si="4"/>
        <v/>
      </c>
      <c r="K28" s="16" t="str">
        <f t="shared" si="3"/>
        <v/>
      </c>
      <c r="L28" s="16"/>
    </row>
    <row r="29" spans="1:12" ht="14.5" x14ac:dyDescent="0.35">
      <c r="A29" s="16"/>
      <c r="B29" s="16"/>
      <c r="C29" s="16"/>
      <c r="D29" s="16"/>
      <c r="E29" s="22" t="str">
        <f ca="1">IFERROR(__xludf.dummyfunction("iferror(1000+INT(($N$2-(index(split(D29,"":""),1)*60+index(split(D29,"":""),2 )))/0.2+1)*$N$3,"""")"),"")</f>
        <v/>
      </c>
      <c r="F29" s="16" t="str">
        <f t="shared" ca="1" si="1"/>
        <v/>
      </c>
      <c r="G29" s="16"/>
      <c r="H29" s="22" t="str">
        <f ca="1">IFERROR(__xludf.dummyfunction("iferror(1000+INT(($N$4-(index(split(G29,"":""),1)*60+index(split(G29,"":""),2 )))/0.2+1)*$N$5,"""")"),"")</f>
        <v/>
      </c>
      <c r="I29" s="16" t="str">
        <f t="shared" ca="1" si="2"/>
        <v/>
      </c>
      <c r="J29" s="16" t="str">
        <f t="shared" si="4"/>
        <v/>
      </c>
      <c r="K29" s="16" t="str">
        <f t="shared" si="3"/>
        <v/>
      </c>
      <c r="L29" s="16"/>
    </row>
    <row r="30" spans="1:12" ht="14.5" x14ac:dyDescent="0.35">
      <c r="A30" s="16"/>
      <c r="B30" s="16"/>
      <c r="C30" s="16"/>
      <c r="D30" s="16"/>
      <c r="E30" s="22" t="str">
        <f ca="1">IFERROR(__xludf.dummyfunction("iferror(1000+INT(($N$2-(index(split(D30,"":""),1)*60+index(split(D30,"":""),2 )))/0.2+1)*$N$3,"""")"),"")</f>
        <v/>
      </c>
      <c r="F30" s="16" t="str">
        <f t="shared" ca="1" si="1"/>
        <v/>
      </c>
      <c r="G30" s="16"/>
      <c r="H30" s="22" t="str">
        <f ca="1">IFERROR(__xludf.dummyfunction("iferror(1000+INT(($N$4-(index(split(G30,"":""),1)*60+index(split(G30,"":""),2 )))/0.2+1)*$N$5,"""")"),"")</f>
        <v/>
      </c>
      <c r="I30" s="16" t="str">
        <f t="shared" ca="1" si="2"/>
        <v/>
      </c>
      <c r="J30" s="16" t="str">
        <f t="shared" si="4"/>
        <v/>
      </c>
      <c r="K30" s="16" t="str">
        <f t="shared" si="3"/>
        <v/>
      </c>
      <c r="L30" s="16"/>
    </row>
    <row r="31" spans="1:12" ht="14.5" x14ac:dyDescent="0.35">
      <c r="A31" s="16"/>
      <c r="B31" s="16"/>
      <c r="C31" s="16"/>
      <c r="D31" s="16"/>
      <c r="E31" s="22" t="str">
        <f ca="1">IFERROR(__xludf.dummyfunction("iferror(1000+INT(($N$2-(index(split(D31,"":""),1)*60+index(split(D31,"":""),2 )))/0.2+1)*$N$3,"""")"),"")</f>
        <v/>
      </c>
      <c r="F31" s="16" t="str">
        <f t="shared" ca="1" si="1"/>
        <v/>
      </c>
      <c r="G31" s="16"/>
      <c r="H31" s="22" t="str">
        <f ca="1">IFERROR(__xludf.dummyfunction("iferror(1000+INT(($N$4-(index(split(G31,"":""),1)*60+index(split(G31,"":""),2 )))/0.2+1)*$N$5,"""")"),"")</f>
        <v/>
      </c>
      <c r="I31" s="16" t="str">
        <f t="shared" ca="1" si="2"/>
        <v/>
      </c>
      <c r="J31" s="16" t="str">
        <f t="shared" si="4"/>
        <v/>
      </c>
      <c r="K31" s="16" t="str">
        <f t="shared" si="3"/>
        <v/>
      </c>
      <c r="L31" s="16"/>
    </row>
    <row r="32" spans="1:12" ht="14.5" x14ac:dyDescent="0.35">
      <c r="A32" s="16"/>
      <c r="B32" s="16"/>
      <c r="C32" s="16"/>
      <c r="D32" s="16"/>
      <c r="E32" s="22" t="str">
        <f ca="1">IFERROR(__xludf.dummyfunction("iferror(1000+INT(($N$2-(index(split(D32,"":""),1)*60+index(split(D32,"":""),2 )))/0.2+1)*$N$3,"""")"),"")</f>
        <v/>
      </c>
      <c r="F32" s="16" t="str">
        <f t="shared" ca="1" si="1"/>
        <v/>
      </c>
      <c r="G32" s="16"/>
      <c r="H32" s="22" t="str">
        <f ca="1">IFERROR(__xludf.dummyfunction("iferror(1000+INT(($N$4-(index(split(G32,"":""),1)*60+index(split(G32,"":""),2 )))/0.2+1)*$N$5,"""")"),"")</f>
        <v/>
      </c>
      <c r="I32" s="16" t="str">
        <f t="shared" ca="1" si="2"/>
        <v/>
      </c>
      <c r="J32" s="16" t="str">
        <f t="shared" si="4"/>
        <v/>
      </c>
      <c r="K32" s="16" t="str">
        <f t="shared" si="3"/>
        <v/>
      </c>
      <c r="L32" s="16"/>
    </row>
    <row r="33" spans="1:12" ht="14.5" x14ac:dyDescent="0.35">
      <c r="A33" s="16"/>
      <c r="B33" s="16"/>
      <c r="C33" s="16"/>
      <c r="D33" s="16"/>
      <c r="E33" s="22" t="str">
        <f ca="1">IFERROR(__xludf.dummyfunction("iferror(1000+INT(($N$2-(index(split(D33,"":""),1)*60+index(split(D33,"":""),2 )))/0.2+1)*$N$3,"""")"),"")</f>
        <v/>
      </c>
      <c r="F33" s="16" t="str">
        <f t="shared" ca="1" si="1"/>
        <v/>
      </c>
      <c r="G33" s="16"/>
      <c r="H33" s="22" t="str">
        <f ca="1">IFERROR(__xludf.dummyfunction("iferror(1000+INT(($N$4-(index(split(G33,"":""),1)*60+index(split(G33,"":""),2 )))/0.2+1)*$N$5,"""")"),"")</f>
        <v/>
      </c>
      <c r="I33" s="16" t="str">
        <f t="shared" ca="1" si="2"/>
        <v/>
      </c>
      <c r="J33" s="16" t="str">
        <f t="shared" si="4"/>
        <v/>
      </c>
      <c r="K33" s="16" t="str">
        <f t="shared" si="3"/>
        <v/>
      </c>
      <c r="L33" s="16"/>
    </row>
    <row r="34" spans="1:12" ht="14.5" x14ac:dyDescent="0.35">
      <c r="A34" s="16"/>
      <c r="B34" s="16"/>
      <c r="C34" s="16"/>
      <c r="D34" s="16"/>
      <c r="E34" s="22" t="str">
        <f ca="1">IFERROR(__xludf.dummyfunction("iferror(1000+INT(($N$2-(index(split(D34,"":""),1)*60+index(split(D34,"":""),2 )))/0.2+1)*$N$3,"""")"),"")</f>
        <v/>
      </c>
      <c r="F34" s="16" t="str">
        <f t="shared" ref="F34:F65" ca="1" si="5">IFERROR(_xlfn.RANK.EQ(E34,E:E),"")</f>
        <v/>
      </c>
      <c r="G34" s="16"/>
      <c r="H34" s="22" t="str">
        <f ca="1">IFERROR(__xludf.dummyfunction("iferror(1000+INT(($N$4-(index(split(G34,"":""),1)*60+index(split(G34,"":""),2 )))/0.2+1)*$N$5,"""")"),"")</f>
        <v/>
      </c>
      <c r="I34" s="16" t="str">
        <f t="shared" ref="I34:I65" ca="1" si="6">IFERROR(_xlfn.RANK.EQ(H34,H:H),"")</f>
        <v/>
      </c>
      <c r="J34" s="16" t="str">
        <f t="shared" ref="J34:J65" si="7">IF(AND(D34="", G34=""), "", E34+H34)</f>
        <v/>
      </c>
      <c r="K34" s="16" t="str">
        <f t="shared" ref="K34:K65" si="8">IFERROR(_xlfn.RANK.EQ(J34,J:J),"")</f>
        <v/>
      </c>
      <c r="L34" s="16"/>
    </row>
    <row r="35" spans="1:12" ht="14.5" x14ac:dyDescent="0.35">
      <c r="A35" s="16"/>
      <c r="B35" s="16"/>
      <c r="C35" s="16"/>
      <c r="D35" s="16"/>
      <c r="E35" s="22" t="str">
        <f ca="1">IFERROR(__xludf.dummyfunction("iferror(1000+INT(($N$2-(index(split(D35,"":""),1)*60+index(split(D35,"":""),2 )))/0.2+1)*$N$3,"""")"),"")</f>
        <v/>
      </c>
      <c r="F35" s="16" t="str">
        <f t="shared" ca="1" si="5"/>
        <v/>
      </c>
      <c r="G35" s="16"/>
      <c r="H35" s="22" t="str">
        <f ca="1">IFERROR(__xludf.dummyfunction("iferror(1000+INT(($N$4-(index(split(G35,"":""),1)*60+index(split(G35,"":""),2 )))/0.2+1)*$N$5,"""")"),"")</f>
        <v/>
      </c>
      <c r="I35" s="16" t="str">
        <f t="shared" ca="1" si="6"/>
        <v/>
      </c>
      <c r="J35" s="16" t="str">
        <f t="shared" si="7"/>
        <v/>
      </c>
      <c r="K35" s="16" t="str">
        <f t="shared" si="8"/>
        <v/>
      </c>
      <c r="L35" s="16"/>
    </row>
    <row r="36" spans="1:12" ht="14.5" x14ac:dyDescent="0.35">
      <c r="A36" s="16"/>
      <c r="B36" s="16"/>
      <c r="C36" s="16"/>
      <c r="D36" s="16"/>
      <c r="E36" s="22" t="str">
        <f ca="1">IFERROR(__xludf.dummyfunction("iferror(1000+INT(($N$2-(index(split(D36,"":""),1)*60+index(split(D36,"":""),2 )))/0.2+1)*$N$3,"""")"),"")</f>
        <v/>
      </c>
      <c r="F36" s="16" t="str">
        <f t="shared" ca="1" si="5"/>
        <v/>
      </c>
      <c r="G36" s="16"/>
      <c r="H36" s="22" t="str">
        <f ca="1">IFERROR(__xludf.dummyfunction("iferror(1000+INT(($N$4-(index(split(G36,"":""),1)*60+index(split(G36,"":""),2 )))/0.2+1)*$N$5,"""")"),"")</f>
        <v/>
      </c>
      <c r="I36" s="16" t="str">
        <f t="shared" ca="1" si="6"/>
        <v/>
      </c>
      <c r="J36" s="16" t="str">
        <f t="shared" si="7"/>
        <v/>
      </c>
      <c r="K36" s="16" t="str">
        <f t="shared" si="8"/>
        <v/>
      </c>
      <c r="L36" s="16"/>
    </row>
    <row r="37" spans="1:12" ht="14.5" x14ac:dyDescent="0.35">
      <c r="A37" s="16"/>
      <c r="B37" s="16"/>
      <c r="C37" s="16"/>
      <c r="D37" s="16"/>
      <c r="E37" s="22" t="str">
        <f ca="1">IFERROR(__xludf.dummyfunction("iferror(1000+INT(($N$2-(index(split(D37,"":""),1)*60+index(split(D37,"":""),2 )))/0.2+1)*$N$3,"""")"),"")</f>
        <v/>
      </c>
      <c r="F37" s="16" t="str">
        <f t="shared" ca="1" si="5"/>
        <v/>
      </c>
      <c r="G37" s="16"/>
      <c r="H37" s="22" t="str">
        <f ca="1">IFERROR(__xludf.dummyfunction("iferror(1000+INT(($N$4-(index(split(G37,"":""),1)*60+index(split(G37,"":""),2 )))/0.2+1)*$N$5,"""")"),"")</f>
        <v/>
      </c>
      <c r="I37" s="16" t="str">
        <f t="shared" ca="1" si="6"/>
        <v/>
      </c>
      <c r="J37" s="16" t="str">
        <f t="shared" si="7"/>
        <v/>
      </c>
      <c r="K37" s="16" t="str">
        <f t="shared" si="8"/>
        <v/>
      </c>
      <c r="L37" s="16"/>
    </row>
    <row r="38" spans="1:12" ht="14.5" x14ac:dyDescent="0.35">
      <c r="A38" s="16"/>
      <c r="B38" s="16"/>
      <c r="C38" s="16"/>
      <c r="D38" s="16"/>
      <c r="E38" s="22" t="str">
        <f ca="1">IFERROR(__xludf.dummyfunction("iferror(1000+INT(($N$2-(index(split(D38,"":""),1)*60+index(split(D38,"":""),2 )))/0.2+1)*$N$3,"""")"),"")</f>
        <v/>
      </c>
      <c r="F38" s="16" t="str">
        <f t="shared" ca="1" si="5"/>
        <v/>
      </c>
      <c r="G38" s="16"/>
      <c r="H38" s="22" t="str">
        <f ca="1">IFERROR(__xludf.dummyfunction("iferror(1000+INT(($N$4-(index(split(G38,"":""),1)*60+index(split(G38,"":""),2 )))/0.2+1)*$N$5,"""")"),"")</f>
        <v/>
      </c>
      <c r="I38" s="16" t="str">
        <f t="shared" ca="1" si="6"/>
        <v/>
      </c>
      <c r="J38" s="16" t="str">
        <f t="shared" si="7"/>
        <v/>
      </c>
      <c r="K38" s="16" t="str">
        <f t="shared" si="8"/>
        <v/>
      </c>
      <c r="L38" s="16"/>
    </row>
    <row r="39" spans="1:12" ht="14.5" x14ac:dyDescent="0.35">
      <c r="A39" s="16"/>
      <c r="B39" s="16"/>
      <c r="C39" s="16"/>
      <c r="D39" s="16"/>
      <c r="E39" s="22" t="str">
        <f ca="1">IFERROR(__xludf.dummyfunction("iferror(1000+INT(($N$2-(index(split(D39,"":""),1)*60+index(split(D39,"":""),2 )))/0.2+1)*$N$3,"""")"),"")</f>
        <v/>
      </c>
      <c r="F39" s="16" t="str">
        <f t="shared" ca="1" si="5"/>
        <v/>
      </c>
      <c r="G39" s="16"/>
      <c r="H39" s="22" t="str">
        <f ca="1">IFERROR(__xludf.dummyfunction("iferror(1000+INT(($N$4-(index(split(G39,"":""),1)*60+index(split(G39,"":""),2 )))/0.2+1)*$N$5,"""")"),"")</f>
        <v/>
      </c>
      <c r="I39" s="16" t="str">
        <f t="shared" ca="1" si="6"/>
        <v/>
      </c>
      <c r="J39" s="16" t="str">
        <f t="shared" si="7"/>
        <v/>
      </c>
      <c r="K39" s="16" t="str">
        <f t="shared" si="8"/>
        <v/>
      </c>
      <c r="L39" s="16"/>
    </row>
    <row r="40" spans="1:12" ht="14.5" x14ac:dyDescent="0.35">
      <c r="A40" s="16"/>
      <c r="B40" s="16"/>
      <c r="C40" s="16"/>
      <c r="D40" s="16"/>
      <c r="E40" s="22" t="str">
        <f ca="1">IFERROR(__xludf.dummyfunction("iferror(1000+INT(($N$2-(index(split(D40,"":""),1)*60+index(split(D40,"":""),2 )))/0.2+1)*$N$3,"""")"),"")</f>
        <v/>
      </c>
      <c r="F40" s="16" t="str">
        <f t="shared" ca="1" si="5"/>
        <v/>
      </c>
      <c r="G40" s="16"/>
      <c r="H40" s="22" t="str">
        <f ca="1">IFERROR(__xludf.dummyfunction("iferror(1000+INT(($N$4-(index(split(G40,"":""),1)*60+index(split(G40,"":""),2 )))/0.2+1)*$N$5,"""")"),"")</f>
        <v/>
      </c>
      <c r="I40" s="16" t="str">
        <f t="shared" ca="1" si="6"/>
        <v/>
      </c>
      <c r="J40" s="16" t="str">
        <f t="shared" si="7"/>
        <v/>
      </c>
      <c r="K40" s="16" t="str">
        <f t="shared" si="8"/>
        <v/>
      </c>
      <c r="L40" s="16"/>
    </row>
    <row r="41" spans="1:12" ht="14.5" x14ac:dyDescent="0.35">
      <c r="A41" s="16"/>
      <c r="B41" s="16"/>
      <c r="C41" s="16"/>
      <c r="D41" s="16"/>
      <c r="E41" s="22" t="str">
        <f ca="1">IFERROR(__xludf.dummyfunction("iferror(1000+INT(($N$2-(index(split(D41,"":""),1)*60+index(split(D41,"":""),2 )))/0.2+1)*$N$3,"""")"),"")</f>
        <v/>
      </c>
      <c r="F41" s="16" t="str">
        <f t="shared" ca="1" si="5"/>
        <v/>
      </c>
      <c r="G41" s="16"/>
      <c r="H41" s="22" t="str">
        <f ca="1">IFERROR(__xludf.dummyfunction("iferror(1000+INT(($N$4-(index(split(G41,"":""),1)*60+index(split(G41,"":""),2 )))/0.2+1)*$N$5,"""")"),"")</f>
        <v/>
      </c>
      <c r="I41" s="16" t="str">
        <f t="shared" ca="1" si="6"/>
        <v/>
      </c>
      <c r="J41" s="16" t="str">
        <f t="shared" si="7"/>
        <v/>
      </c>
      <c r="K41" s="16" t="str">
        <f t="shared" si="8"/>
        <v/>
      </c>
      <c r="L41" s="16"/>
    </row>
    <row r="42" spans="1:12" ht="14.5" x14ac:dyDescent="0.35">
      <c r="A42" s="16"/>
      <c r="B42" s="16"/>
      <c r="C42" s="16"/>
      <c r="D42" s="16"/>
      <c r="E42" s="22" t="str">
        <f ca="1">IFERROR(__xludf.dummyfunction("iferror(1000+INT(($N$2-(index(split(D42,"":""),1)*60+index(split(D42,"":""),2 )))/0.2+1)*$N$3,"""")"),"")</f>
        <v/>
      </c>
      <c r="F42" s="16" t="str">
        <f t="shared" ca="1" si="5"/>
        <v/>
      </c>
      <c r="G42" s="16"/>
      <c r="H42" s="22" t="str">
        <f ca="1">IFERROR(__xludf.dummyfunction("iferror(1000+INT(($N$4-(index(split(G42,"":""),1)*60+index(split(G42,"":""),2 )))/0.2+1)*$N$5,"""")"),"")</f>
        <v/>
      </c>
      <c r="I42" s="16" t="str">
        <f t="shared" ca="1" si="6"/>
        <v/>
      </c>
      <c r="J42" s="16" t="str">
        <f t="shared" si="7"/>
        <v/>
      </c>
      <c r="K42" s="16" t="str">
        <f t="shared" si="8"/>
        <v/>
      </c>
      <c r="L42" s="16"/>
    </row>
    <row r="43" spans="1:12" ht="14.5" x14ac:dyDescent="0.35">
      <c r="A43" s="16"/>
      <c r="B43" s="16"/>
      <c r="C43" s="16"/>
      <c r="D43" s="16"/>
      <c r="E43" s="22" t="str">
        <f ca="1">IFERROR(__xludf.dummyfunction("iferror(1000+INT(($N$2-(index(split(D43,"":""),1)*60+index(split(D43,"":""),2 )))/0.2+1)*$N$3,"""")"),"")</f>
        <v/>
      </c>
      <c r="F43" s="16" t="str">
        <f t="shared" ca="1" si="5"/>
        <v/>
      </c>
      <c r="G43" s="16"/>
      <c r="H43" s="22" t="str">
        <f ca="1">IFERROR(__xludf.dummyfunction("iferror(1000+INT(($N$4-(index(split(G43,"":""),1)*60+index(split(G43,"":""),2 )))/0.2+1)*$N$5,"""")"),"")</f>
        <v/>
      </c>
      <c r="I43" s="16" t="str">
        <f t="shared" ca="1" si="6"/>
        <v/>
      </c>
      <c r="J43" s="16" t="str">
        <f t="shared" si="7"/>
        <v/>
      </c>
      <c r="K43" s="16" t="str">
        <f t="shared" si="8"/>
        <v/>
      </c>
      <c r="L43" s="16"/>
    </row>
    <row r="44" spans="1:12" ht="14.5" x14ac:dyDescent="0.35">
      <c r="A44" s="16"/>
      <c r="B44" s="16"/>
      <c r="C44" s="16"/>
      <c r="D44" s="16"/>
      <c r="E44" s="22" t="str">
        <f ca="1">IFERROR(__xludf.dummyfunction("iferror(1000+INT(($N$2-(index(split(D44,"":""),1)*60+index(split(D44,"":""),2 )))/0.2+1)*$N$3,"""")"),"")</f>
        <v/>
      </c>
      <c r="F44" s="16" t="str">
        <f t="shared" ca="1" si="5"/>
        <v/>
      </c>
      <c r="G44" s="16"/>
      <c r="H44" s="22" t="str">
        <f ca="1">IFERROR(__xludf.dummyfunction("iferror(1000+INT(($N$4-(index(split(G44,"":""),1)*60+index(split(G44,"":""),2 )))/0.2+1)*$N$5,"""")"),"")</f>
        <v/>
      </c>
      <c r="I44" s="16" t="str">
        <f t="shared" ca="1" si="6"/>
        <v/>
      </c>
      <c r="J44" s="16" t="str">
        <f t="shared" si="7"/>
        <v/>
      </c>
      <c r="K44" s="16" t="str">
        <f t="shared" si="8"/>
        <v/>
      </c>
      <c r="L44" s="16"/>
    </row>
    <row r="45" spans="1:12" ht="14.5" x14ac:dyDescent="0.35">
      <c r="A45" s="16"/>
      <c r="B45" s="16"/>
      <c r="C45" s="16"/>
      <c r="D45" s="16"/>
      <c r="E45" s="22" t="str">
        <f ca="1">IFERROR(__xludf.dummyfunction("iferror(1000+INT(($N$2-(index(split(D45,"":""),1)*60+index(split(D45,"":""),2 )))/0.2+1)*$N$3,"""")"),"")</f>
        <v/>
      </c>
      <c r="F45" s="16" t="str">
        <f t="shared" ca="1" si="5"/>
        <v/>
      </c>
      <c r="G45" s="16"/>
      <c r="H45" s="22" t="str">
        <f ca="1">IFERROR(__xludf.dummyfunction("iferror(1000+INT(($N$4-(index(split(G45,"":""),1)*60+index(split(G45,"":""),2 )))/0.2+1)*$N$5,"""")"),"")</f>
        <v/>
      </c>
      <c r="I45" s="16" t="str">
        <f t="shared" ca="1" si="6"/>
        <v/>
      </c>
      <c r="J45" s="16" t="str">
        <f t="shared" si="7"/>
        <v/>
      </c>
      <c r="K45" s="16" t="str">
        <f t="shared" si="8"/>
        <v/>
      </c>
      <c r="L45" s="16"/>
    </row>
    <row r="46" spans="1:12" ht="14.5" x14ac:dyDescent="0.35">
      <c r="A46" s="16"/>
      <c r="B46" s="16"/>
      <c r="C46" s="16"/>
      <c r="D46" s="16"/>
      <c r="E46" s="22" t="str">
        <f ca="1">IFERROR(__xludf.dummyfunction("iferror(1000+INT(($N$2-(index(split(D46,"":""),1)*60+index(split(D46,"":""),2 )))/0.2+1)*$N$3,"""")"),"")</f>
        <v/>
      </c>
      <c r="F46" s="16" t="str">
        <f t="shared" ca="1" si="5"/>
        <v/>
      </c>
      <c r="G46" s="16"/>
      <c r="H46" s="22" t="str">
        <f ca="1">IFERROR(__xludf.dummyfunction("iferror(1000+INT(($N$4-(index(split(G46,"":""),1)*60+index(split(G46,"":""),2 )))/0.2+1)*$N$5,"""")"),"")</f>
        <v/>
      </c>
      <c r="I46" s="16" t="str">
        <f t="shared" ca="1" si="6"/>
        <v/>
      </c>
      <c r="J46" s="16" t="str">
        <f t="shared" si="7"/>
        <v/>
      </c>
      <c r="K46" s="16" t="str">
        <f t="shared" si="8"/>
        <v/>
      </c>
      <c r="L46" s="16"/>
    </row>
    <row r="47" spans="1:12" ht="14.5" x14ac:dyDescent="0.35">
      <c r="A47" s="16"/>
      <c r="B47" s="16"/>
      <c r="C47" s="16"/>
      <c r="D47" s="16"/>
      <c r="E47" s="22" t="str">
        <f ca="1">IFERROR(__xludf.dummyfunction("iferror(1000+INT(($N$2-(index(split(D47,"":""),1)*60+index(split(D47,"":""),2 )))/0.2+1)*$N$3,"""")"),"")</f>
        <v/>
      </c>
      <c r="F47" s="16" t="str">
        <f t="shared" ca="1" si="5"/>
        <v/>
      </c>
      <c r="G47" s="16"/>
      <c r="H47" s="22" t="str">
        <f ca="1">IFERROR(__xludf.dummyfunction("iferror(1000+INT(($N$4-(index(split(G47,"":""),1)*60+index(split(G47,"":""),2 )))/0.2+1)*$N$5,"""")"),"")</f>
        <v/>
      </c>
      <c r="I47" s="16" t="str">
        <f t="shared" ca="1" si="6"/>
        <v/>
      </c>
      <c r="J47" s="16" t="str">
        <f t="shared" si="7"/>
        <v/>
      </c>
      <c r="K47" s="16" t="str">
        <f t="shared" si="8"/>
        <v/>
      </c>
      <c r="L47" s="16"/>
    </row>
    <row r="48" spans="1:12" ht="14.5" x14ac:dyDescent="0.35">
      <c r="A48" s="16"/>
      <c r="B48" s="16"/>
      <c r="C48" s="16"/>
      <c r="D48" s="16"/>
      <c r="E48" s="22" t="str">
        <f ca="1">IFERROR(__xludf.dummyfunction("iferror(1000+INT(($N$2-(index(split(D48,"":""),1)*60+index(split(D48,"":""),2 )))/0.2+1)*$N$3,"""")"),"")</f>
        <v/>
      </c>
      <c r="F48" s="16" t="str">
        <f t="shared" ca="1" si="5"/>
        <v/>
      </c>
      <c r="G48" s="16"/>
      <c r="H48" s="22" t="str">
        <f ca="1">IFERROR(__xludf.dummyfunction("iferror(1000+INT(($N$4-(index(split(G48,"":""),1)*60+index(split(G48,"":""),2 )))/0.2+1)*$N$5,"""")"),"")</f>
        <v/>
      </c>
      <c r="I48" s="16" t="str">
        <f t="shared" ca="1" si="6"/>
        <v/>
      </c>
      <c r="J48" s="16" t="str">
        <f t="shared" si="7"/>
        <v/>
      </c>
      <c r="K48" s="16" t="str">
        <f t="shared" si="8"/>
        <v/>
      </c>
      <c r="L48" s="16"/>
    </row>
    <row r="49" spans="1:12" ht="14.5" x14ac:dyDescent="0.35">
      <c r="A49" s="16"/>
      <c r="B49" s="16"/>
      <c r="C49" s="16"/>
      <c r="D49" s="16"/>
      <c r="E49" s="22" t="str">
        <f ca="1">IFERROR(__xludf.dummyfunction("iferror(1000+INT(($N$2-(index(split(D49,"":""),1)*60+index(split(D49,"":""),2 )))/0.2+1)*$N$3,"""")"),"")</f>
        <v/>
      </c>
      <c r="F49" s="16" t="str">
        <f t="shared" ca="1" si="5"/>
        <v/>
      </c>
      <c r="G49" s="16"/>
      <c r="H49" s="22" t="str">
        <f ca="1">IFERROR(__xludf.dummyfunction("iferror(1000+INT(($N$4-(index(split(G49,"":""),1)*60+index(split(G49,"":""),2 )))/0.2+1)*$N$5,"""")"),"")</f>
        <v/>
      </c>
      <c r="I49" s="16" t="str">
        <f t="shared" ca="1" si="6"/>
        <v/>
      </c>
      <c r="J49" s="16" t="str">
        <f t="shared" si="7"/>
        <v/>
      </c>
      <c r="K49" s="16" t="str">
        <f t="shared" si="8"/>
        <v/>
      </c>
      <c r="L49" s="16"/>
    </row>
    <row r="50" spans="1:12" ht="14.5" x14ac:dyDescent="0.35">
      <c r="A50" s="16"/>
      <c r="B50" s="16"/>
      <c r="C50" s="16"/>
      <c r="D50" s="16"/>
      <c r="E50" s="22" t="str">
        <f ca="1">IFERROR(__xludf.dummyfunction("iferror(1000+INT(($N$2-(index(split(D50,"":""),1)*60+index(split(D50,"":""),2 )))/0.2+1)*$N$3,"""")"),"")</f>
        <v/>
      </c>
      <c r="F50" s="16" t="str">
        <f t="shared" ca="1" si="5"/>
        <v/>
      </c>
      <c r="G50" s="16"/>
      <c r="H50" s="22" t="str">
        <f ca="1">IFERROR(__xludf.dummyfunction("iferror(1000+INT(($N$4-(index(split(G50,"":""),1)*60+index(split(G50,"":""),2 )))/0.2+1)*$N$5,"""")"),"")</f>
        <v/>
      </c>
      <c r="I50" s="16" t="str">
        <f t="shared" ca="1" si="6"/>
        <v/>
      </c>
      <c r="J50" s="16" t="str">
        <f t="shared" si="7"/>
        <v/>
      </c>
      <c r="K50" s="16" t="str">
        <f t="shared" si="8"/>
        <v/>
      </c>
      <c r="L50" s="16"/>
    </row>
    <row r="51" spans="1:12" ht="14.5" x14ac:dyDescent="0.35">
      <c r="A51" s="16"/>
      <c r="B51" s="16"/>
      <c r="C51" s="16"/>
      <c r="D51" s="16"/>
      <c r="E51" s="22" t="str">
        <f ca="1">IFERROR(__xludf.dummyfunction("iferror(1000+INT(($N$2-(index(split(D51,"":""),1)*60+index(split(D51,"":""),2 )))/0.2+1)*$N$3,"""")"),"")</f>
        <v/>
      </c>
      <c r="F51" s="16" t="str">
        <f t="shared" ca="1" si="5"/>
        <v/>
      </c>
      <c r="G51" s="16"/>
      <c r="H51" s="22" t="str">
        <f ca="1">IFERROR(__xludf.dummyfunction("iferror(1000+INT(($N$4-(index(split(G51,"":""),1)*60+index(split(G51,"":""),2 )))/0.2+1)*$N$5,"""")"),"")</f>
        <v/>
      </c>
      <c r="I51" s="16" t="str">
        <f t="shared" ca="1" si="6"/>
        <v/>
      </c>
      <c r="J51" s="16" t="str">
        <f t="shared" si="7"/>
        <v/>
      </c>
      <c r="K51" s="16" t="str">
        <f t="shared" si="8"/>
        <v/>
      </c>
      <c r="L51" s="16"/>
    </row>
    <row r="52" spans="1:12" ht="14.5" x14ac:dyDescent="0.35">
      <c r="A52" s="16"/>
      <c r="B52" s="16"/>
      <c r="C52" s="16"/>
      <c r="D52" s="16"/>
      <c r="E52" s="22" t="str">
        <f ca="1">IFERROR(__xludf.dummyfunction("iferror(1000+INT(($N$2-(index(split(D52,"":""),1)*60+index(split(D52,"":""),2 )))/0.2+1)*$N$3,"""")"),"")</f>
        <v/>
      </c>
      <c r="F52" s="16" t="str">
        <f t="shared" ca="1" si="5"/>
        <v/>
      </c>
      <c r="G52" s="16"/>
      <c r="H52" s="22" t="str">
        <f ca="1">IFERROR(__xludf.dummyfunction("iferror(1000+INT(($N$4-(index(split(G52,"":""),1)*60+index(split(G52,"":""),2 )))/0.2+1)*$N$5,"""")"),"")</f>
        <v/>
      </c>
      <c r="I52" s="16" t="str">
        <f t="shared" ca="1" si="6"/>
        <v/>
      </c>
      <c r="J52" s="16" t="str">
        <f t="shared" si="7"/>
        <v/>
      </c>
      <c r="K52" s="16" t="str">
        <f t="shared" si="8"/>
        <v/>
      </c>
      <c r="L52" s="16"/>
    </row>
    <row r="53" spans="1:12" ht="14.5" x14ac:dyDescent="0.35">
      <c r="A53" s="16"/>
      <c r="B53" s="16"/>
      <c r="C53" s="16"/>
      <c r="D53" s="16"/>
      <c r="E53" s="22" t="str">
        <f ca="1">IFERROR(__xludf.dummyfunction("iferror(1000+INT(($N$2-(index(split(D53,"":""),1)*60+index(split(D53,"":""),2 )))/0.2+1)*$N$3,"""")"),"")</f>
        <v/>
      </c>
      <c r="F53" s="16" t="str">
        <f t="shared" ca="1" si="5"/>
        <v/>
      </c>
      <c r="G53" s="16"/>
      <c r="H53" s="22" t="str">
        <f ca="1">IFERROR(__xludf.dummyfunction("iferror(1000+INT(($N$4-(index(split(G53,"":""),1)*60+index(split(G53,"":""),2 )))/0.2+1)*$N$5,"""")"),"")</f>
        <v/>
      </c>
      <c r="I53" s="16" t="str">
        <f t="shared" ca="1" si="6"/>
        <v/>
      </c>
      <c r="J53" s="16" t="str">
        <f t="shared" si="7"/>
        <v/>
      </c>
      <c r="K53" s="16" t="str">
        <f t="shared" si="8"/>
        <v/>
      </c>
      <c r="L53" s="16"/>
    </row>
    <row r="54" spans="1:12" ht="14.5" x14ac:dyDescent="0.35">
      <c r="A54" s="16"/>
      <c r="B54" s="16"/>
      <c r="C54" s="16"/>
      <c r="D54" s="16"/>
      <c r="E54" s="22" t="str">
        <f ca="1">IFERROR(__xludf.dummyfunction("iferror(1000+INT(($N$2-(index(split(D54,"":""),1)*60+index(split(D54,"":""),2 )))/0.2+1)*$N$3,"""")"),"")</f>
        <v/>
      </c>
      <c r="F54" s="16" t="str">
        <f t="shared" ca="1" si="5"/>
        <v/>
      </c>
      <c r="G54" s="16"/>
      <c r="H54" s="22" t="str">
        <f ca="1">IFERROR(__xludf.dummyfunction("iferror(1000+INT(($N$4-(index(split(G54,"":""),1)*60+index(split(G54,"":""),2 )))/0.2+1)*$N$5,"""")"),"")</f>
        <v/>
      </c>
      <c r="I54" s="16" t="str">
        <f t="shared" ca="1" si="6"/>
        <v/>
      </c>
      <c r="J54" s="16" t="str">
        <f t="shared" si="7"/>
        <v/>
      </c>
      <c r="K54" s="16" t="str">
        <f t="shared" si="8"/>
        <v/>
      </c>
      <c r="L54" s="16"/>
    </row>
    <row r="55" spans="1:12" ht="14.5" x14ac:dyDescent="0.35">
      <c r="A55" s="16"/>
      <c r="B55" s="16"/>
      <c r="C55" s="16"/>
      <c r="D55" s="16"/>
      <c r="E55" s="22" t="str">
        <f ca="1">IFERROR(__xludf.dummyfunction("iferror(1000+INT(($N$2-(index(split(D55,"":""),1)*60+index(split(D55,"":""),2 )))/0.2+1)*$N$3,"""")"),"")</f>
        <v/>
      </c>
      <c r="F55" s="16" t="str">
        <f t="shared" ca="1" si="5"/>
        <v/>
      </c>
      <c r="G55" s="16"/>
      <c r="H55" s="22" t="str">
        <f ca="1">IFERROR(__xludf.dummyfunction("iferror(1000+INT(($N$4-(index(split(G55,"":""),1)*60+index(split(G55,"":""),2 )))/0.2+1)*$N$5,"""")"),"")</f>
        <v/>
      </c>
      <c r="I55" s="16" t="str">
        <f t="shared" ca="1" si="6"/>
        <v/>
      </c>
      <c r="J55" s="16" t="str">
        <f t="shared" si="7"/>
        <v/>
      </c>
      <c r="K55" s="16" t="str">
        <f t="shared" si="8"/>
        <v/>
      </c>
      <c r="L55" s="16"/>
    </row>
    <row r="56" spans="1:12" ht="14.5" x14ac:dyDescent="0.35">
      <c r="A56" s="16"/>
      <c r="B56" s="16"/>
      <c r="C56" s="16"/>
      <c r="D56" s="16"/>
      <c r="E56" s="22" t="str">
        <f ca="1">IFERROR(__xludf.dummyfunction("iferror(1000+INT(($N$2-(index(split(D56,"":""),1)*60+index(split(D56,"":""),2 )))/0.2+1)*$N$3,"""")"),"")</f>
        <v/>
      </c>
      <c r="F56" s="16" t="str">
        <f t="shared" ca="1" si="5"/>
        <v/>
      </c>
      <c r="G56" s="16"/>
      <c r="H56" s="22" t="str">
        <f ca="1">IFERROR(__xludf.dummyfunction("iferror(1000+INT(($N$4-(index(split(G56,"":""),1)*60+index(split(G56,"":""),2 )))/0.2+1)*$N$5,"""")"),"")</f>
        <v/>
      </c>
      <c r="I56" s="16" t="str">
        <f t="shared" ca="1" si="6"/>
        <v/>
      </c>
      <c r="J56" s="16" t="str">
        <f t="shared" si="7"/>
        <v/>
      </c>
      <c r="K56" s="16" t="str">
        <f t="shared" si="8"/>
        <v/>
      </c>
      <c r="L56" s="16"/>
    </row>
    <row r="57" spans="1:12" ht="14.5" x14ac:dyDescent="0.35">
      <c r="A57" s="16"/>
      <c r="B57" s="16"/>
      <c r="C57" s="16"/>
      <c r="D57" s="16"/>
      <c r="E57" s="22" t="str">
        <f ca="1">IFERROR(__xludf.dummyfunction("iferror(1000+INT(($N$2-(index(split(D57,"":""),1)*60+index(split(D57,"":""),2 )))/0.2+1)*$N$3,"""")"),"")</f>
        <v/>
      </c>
      <c r="F57" s="16" t="str">
        <f t="shared" ca="1" si="5"/>
        <v/>
      </c>
      <c r="G57" s="16"/>
      <c r="H57" s="22" t="str">
        <f ca="1">IFERROR(__xludf.dummyfunction("iferror(1000+INT(($N$4-(index(split(G57,"":""),1)*60+index(split(G57,"":""),2 )))/0.2+1)*$N$5,"""")"),"")</f>
        <v/>
      </c>
      <c r="I57" s="16" t="str">
        <f t="shared" ca="1" si="6"/>
        <v/>
      </c>
      <c r="J57" s="16" t="str">
        <f t="shared" si="7"/>
        <v/>
      </c>
      <c r="K57" s="16" t="str">
        <f t="shared" si="8"/>
        <v/>
      </c>
      <c r="L57" s="16"/>
    </row>
    <row r="58" spans="1:12" ht="14.5" x14ac:dyDescent="0.35">
      <c r="A58" s="16"/>
      <c r="B58" s="16"/>
      <c r="C58" s="16"/>
      <c r="D58" s="16"/>
      <c r="E58" s="22" t="str">
        <f ca="1">IFERROR(__xludf.dummyfunction("iferror(1000+INT(($N$2-(index(split(D58,"":""),1)*60+index(split(D58,"":""),2 )))/0.2+1)*$N$3,"""")"),"")</f>
        <v/>
      </c>
      <c r="F58" s="16" t="str">
        <f t="shared" ca="1" si="5"/>
        <v/>
      </c>
      <c r="G58" s="16"/>
      <c r="H58" s="22" t="str">
        <f ca="1">IFERROR(__xludf.dummyfunction("iferror(1000+INT(($N$4-(index(split(G58,"":""),1)*60+index(split(G58,"":""),2 )))/0.2+1)*$N$5,"""")"),"")</f>
        <v/>
      </c>
      <c r="I58" s="16" t="str">
        <f t="shared" ca="1" si="6"/>
        <v/>
      </c>
      <c r="J58" s="16" t="str">
        <f t="shared" si="7"/>
        <v/>
      </c>
      <c r="K58" s="16" t="str">
        <f t="shared" si="8"/>
        <v/>
      </c>
      <c r="L58" s="16"/>
    </row>
    <row r="59" spans="1:12" ht="14.5" x14ac:dyDescent="0.35">
      <c r="A59" s="16"/>
      <c r="B59" s="16"/>
      <c r="C59" s="16"/>
      <c r="D59" s="16"/>
      <c r="E59" s="22" t="str">
        <f ca="1">IFERROR(__xludf.dummyfunction("iferror(1000+INT(($N$2-(index(split(D59,"":""),1)*60+index(split(D59,"":""),2 )))/0.2+1)*$N$3,"""")"),"")</f>
        <v/>
      </c>
      <c r="F59" s="16" t="str">
        <f t="shared" ca="1" si="5"/>
        <v/>
      </c>
      <c r="G59" s="16"/>
      <c r="H59" s="22" t="str">
        <f ca="1">IFERROR(__xludf.dummyfunction("iferror(1000+INT(($N$4-(index(split(G59,"":""),1)*60+index(split(G59,"":""),2 )))/0.2+1)*$N$5,"""")"),"")</f>
        <v/>
      </c>
      <c r="I59" s="16" t="str">
        <f t="shared" ca="1" si="6"/>
        <v/>
      </c>
      <c r="J59" s="16" t="str">
        <f t="shared" si="7"/>
        <v/>
      </c>
      <c r="K59" s="16" t="str">
        <f t="shared" si="8"/>
        <v/>
      </c>
      <c r="L59" s="16"/>
    </row>
    <row r="60" spans="1:12" ht="14.5" x14ac:dyDescent="0.35">
      <c r="A60" s="16"/>
      <c r="B60" s="16"/>
      <c r="C60" s="16"/>
      <c r="D60" s="16"/>
      <c r="E60" s="22" t="str">
        <f ca="1">IFERROR(__xludf.dummyfunction("iferror(1000+INT(($N$2-(index(split(D60,"":""),1)*60+index(split(D60,"":""),2 )))/0.2+1)*$N$3,"""")"),"")</f>
        <v/>
      </c>
      <c r="F60" s="16" t="str">
        <f t="shared" ca="1" si="5"/>
        <v/>
      </c>
      <c r="G60" s="16"/>
      <c r="H60" s="22" t="str">
        <f ca="1">IFERROR(__xludf.dummyfunction("iferror(1000+INT(($N$4-(index(split(G60,"":""),1)*60+index(split(G60,"":""),2 )))/0.2+1)*$N$5,"""")"),"")</f>
        <v/>
      </c>
      <c r="I60" s="16" t="str">
        <f t="shared" ca="1" si="6"/>
        <v/>
      </c>
      <c r="J60" s="16" t="str">
        <f t="shared" si="7"/>
        <v/>
      </c>
      <c r="K60" s="16" t="str">
        <f t="shared" si="8"/>
        <v/>
      </c>
      <c r="L60" s="16"/>
    </row>
    <row r="61" spans="1:12" ht="14.5" x14ac:dyDescent="0.35">
      <c r="A61" s="16"/>
      <c r="B61" s="16"/>
      <c r="C61" s="16"/>
      <c r="D61" s="16"/>
      <c r="E61" s="22" t="str">
        <f ca="1">IFERROR(__xludf.dummyfunction("iferror(1000+INT(($N$2-(index(split(D61,"":""),1)*60+index(split(D61,"":""),2 )))/0.2+1)*$N$3,"""")"),"")</f>
        <v/>
      </c>
      <c r="F61" s="16" t="str">
        <f t="shared" ca="1" si="5"/>
        <v/>
      </c>
      <c r="G61" s="16"/>
      <c r="H61" s="22" t="str">
        <f ca="1">IFERROR(__xludf.dummyfunction("iferror(1000+INT(($N$4-(index(split(G61,"":""),1)*60+index(split(G61,"":""),2 )))/0.2+1)*$N$5,"""")"),"")</f>
        <v/>
      </c>
      <c r="I61" s="16" t="str">
        <f t="shared" ca="1" si="6"/>
        <v/>
      </c>
      <c r="J61" s="16" t="str">
        <f t="shared" si="7"/>
        <v/>
      </c>
      <c r="K61" s="16" t="str">
        <f t="shared" si="8"/>
        <v/>
      </c>
      <c r="L61" s="16"/>
    </row>
    <row r="62" spans="1:12" ht="14.5" x14ac:dyDescent="0.35">
      <c r="A62" s="16"/>
      <c r="B62" s="16"/>
      <c r="C62" s="16"/>
      <c r="D62" s="16"/>
      <c r="E62" s="22" t="str">
        <f ca="1">IFERROR(__xludf.dummyfunction("iferror(1000+INT(($N$2-(index(split(D62,"":""),1)*60+index(split(D62,"":""),2 )))/0.2+1)*$N$3,"""")"),"")</f>
        <v/>
      </c>
      <c r="F62" s="16" t="str">
        <f t="shared" ca="1" si="5"/>
        <v/>
      </c>
      <c r="G62" s="16"/>
      <c r="H62" s="22" t="str">
        <f ca="1">IFERROR(__xludf.dummyfunction("iferror(1000+INT(($N$4-(index(split(G62,"":""),1)*60+index(split(G62,"":""),2 )))/0.2+1)*$N$5,"""")"),"")</f>
        <v/>
      </c>
      <c r="I62" s="16" t="str">
        <f t="shared" ca="1" si="6"/>
        <v/>
      </c>
      <c r="J62" s="16" t="str">
        <f t="shared" si="7"/>
        <v/>
      </c>
      <c r="K62" s="16" t="str">
        <f t="shared" si="8"/>
        <v/>
      </c>
      <c r="L62" s="16"/>
    </row>
    <row r="63" spans="1:12" ht="14.5" x14ac:dyDescent="0.35">
      <c r="A63" s="16"/>
      <c r="B63" s="16"/>
      <c r="C63" s="16"/>
      <c r="D63" s="16"/>
      <c r="E63" s="22" t="str">
        <f ca="1">IFERROR(__xludf.dummyfunction("iferror(1000+INT(($N$2-(index(split(D63,"":""),1)*60+index(split(D63,"":""),2 )))/0.2+1)*$N$3,"""")"),"")</f>
        <v/>
      </c>
      <c r="F63" s="16" t="str">
        <f t="shared" ca="1" si="5"/>
        <v/>
      </c>
      <c r="G63" s="16"/>
      <c r="H63" s="22" t="str">
        <f ca="1">IFERROR(__xludf.dummyfunction("iferror(1000+INT(($N$4-(index(split(G63,"":""),1)*60+index(split(G63,"":""),2 )))/0.2+1)*$N$5,"""")"),"")</f>
        <v/>
      </c>
      <c r="I63" s="16" t="str">
        <f t="shared" ca="1" si="6"/>
        <v/>
      </c>
      <c r="J63" s="16" t="str">
        <f t="shared" si="7"/>
        <v/>
      </c>
      <c r="K63" s="16" t="str">
        <f t="shared" si="8"/>
        <v/>
      </c>
      <c r="L63" s="16"/>
    </row>
    <row r="64" spans="1:12" ht="14.5" x14ac:dyDescent="0.35">
      <c r="A64" s="16"/>
      <c r="B64" s="16"/>
      <c r="C64" s="16"/>
      <c r="D64" s="16"/>
      <c r="E64" s="22" t="str">
        <f ca="1">IFERROR(__xludf.dummyfunction("iferror(1000+INT(($N$2-(index(split(D64,"":""),1)*60+index(split(D64,"":""),2 )))/0.2+1)*$N$3,"""")"),"")</f>
        <v/>
      </c>
      <c r="F64" s="16" t="str">
        <f t="shared" ca="1" si="5"/>
        <v/>
      </c>
      <c r="G64" s="16"/>
      <c r="H64" s="22" t="str">
        <f ca="1">IFERROR(__xludf.dummyfunction("iferror(1000+INT(($N$4-(index(split(G64,"":""),1)*60+index(split(G64,"":""),2 )))/0.2+1)*$N$5,"""")"),"")</f>
        <v/>
      </c>
      <c r="I64" s="16" t="str">
        <f t="shared" ca="1" si="6"/>
        <v/>
      </c>
      <c r="J64" s="16" t="str">
        <f t="shared" si="7"/>
        <v/>
      </c>
      <c r="K64" s="16" t="str">
        <f t="shared" si="8"/>
        <v/>
      </c>
      <c r="L64" s="16"/>
    </row>
    <row r="65" spans="1:12" ht="14.5" x14ac:dyDescent="0.35">
      <c r="A65" s="16"/>
      <c r="B65" s="16"/>
      <c r="C65" s="16"/>
      <c r="D65" s="16"/>
      <c r="E65" s="22" t="str">
        <f ca="1">IFERROR(__xludf.dummyfunction("iferror(1000+INT(($N$2-(index(split(D65,"":""),1)*60+index(split(D65,"":""),2 )))/0.2+1)*$N$3,"""")"),"")</f>
        <v/>
      </c>
      <c r="F65" s="16" t="str">
        <f t="shared" ca="1" si="5"/>
        <v/>
      </c>
      <c r="G65" s="16"/>
      <c r="H65" s="22" t="str">
        <f ca="1">IFERROR(__xludf.dummyfunction("iferror(1000+INT(($N$4-(index(split(G65,"":""),1)*60+index(split(G65,"":""),2 )))/0.2+1)*$N$5,"""")"),"")</f>
        <v/>
      </c>
      <c r="I65" s="16" t="str">
        <f t="shared" ca="1" si="6"/>
        <v/>
      </c>
      <c r="J65" s="16" t="str">
        <f t="shared" si="7"/>
        <v/>
      </c>
      <c r="K65" s="16" t="str">
        <f t="shared" si="8"/>
        <v/>
      </c>
      <c r="L65" s="16"/>
    </row>
    <row r="66" spans="1:12" ht="14.5" x14ac:dyDescent="0.35">
      <c r="A66" s="16"/>
      <c r="B66" s="16"/>
      <c r="C66" s="16"/>
      <c r="D66" s="16"/>
      <c r="E66" s="22" t="str">
        <f ca="1">IFERROR(__xludf.dummyfunction("iferror(1000+INT(($N$2-(index(split(D66,"":""),1)*60+index(split(D66,"":""),2 )))/0.2+1)*$N$3,"""")"),"")</f>
        <v/>
      </c>
      <c r="F66" s="16" t="str">
        <f t="shared" ref="F66:F97" ca="1" si="9">IFERROR(_xlfn.RANK.EQ(E66,E:E),"")</f>
        <v/>
      </c>
      <c r="G66" s="16"/>
      <c r="H66" s="22" t="str">
        <f ca="1">IFERROR(__xludf.dummyfunction("iferror(1000+INT(($N$4-(index(split(G66,"":""),1)*60+index(split(G66,"":""),2 )))/0.2+1)*$N$5,"""")"),"")</f>
        <v/>
      </c>
      <c r="I66" s="16" t="str">
        <f t="shared" ref="I66:I97" ca="1" si="10">IFERROR(_xlfn.RANK.EQ(H66,H:H),"")</f>
        <v/>
      </c>
      <c r="J66" s="16" t="str">
        <f t="shared" ref="J66:J100" si="11">IF(AND(D66="", G66=""), "", E66+H66)</f>
        <v/>
      </c>
      <c r="K66" s="16" t="str">
        <f t="shared" ref="K66:K97" si="12">IFERROR(_xlfn.RANK.EQ(J66,J:J),"")</f>
        <v/>
      </c>
      <c r="L66" s="16"/>
    </row>
    <row r="67" spans="1:12" ht="14.5" x14ac:dyDescent="0.35">
      <c r="A67" s="16"/>
      <c r="B67" s="16"/>
      <c r="C67" s="16"/>
      <c r="D67" s="16"/>
      <c r="E67" s="22" t="str">
        <f ca="1">IFERROR(__xludf.dummyfunction("iferror(1000+INT(($N$2-(index(split(D67,"":""),1)*60+index(split(D67,"":""),2 )))/0.2+1)*$N$3,"""")"),"")</f>
        <v/>
      </c>
      <c r="F67" s="16" t="str">
        <f t="shared" ca="1" si="9"/>
        <v/>
      </c>
      <c r="G67" s="16"/>
      <c r="H67" s="22" t="str">
        <f ca="1">IFERROR(__xludf.dummyfunction("iferror(1000+INT(($N$4-(index(split(G67,"":""),1)*60+index(split(G67,"":""),2 )))/0.2+1)*$N$5,"""")"),"")</f>
        <v/>
      </c>
      <c r="I67" s="16" t="str">
        <f t="shared" ca="1" si="10"/>
        <v/>
      </c>
      <c r="J67" s="16" t="str">
        <f t="shared" si="11"/>
        <v/>
      </c>
      <c r="K67" s="16" t="str">
        <f t="shared" si="12"/>
        <v/>
      </c>
      <c r="L67" s="16"/>
    </row>
    <row r="68" spans="1:12" ht="14.5" x14ac:dyDescent="0.35">
      <c r="A68" s="16"/>
      <c r="B68" s="16"/>
      <c r="C68" s="16"/>
      <c r="D68" s="16"/>
      <c r="E68" s="22" t="str">
        <f ca="1">IFERROR(__xludf.dummyfunction("iferror(1000+INT(($N$2-(index(split(D68,"":""),1)*60+index(split(D68,"":""),2 )))/0.2+1)*$N$3,"""")"),"")</f>
        <v/>
      </c>
      <c r="F68" s="16" t="str">
        <f t="shared" ca="1" si="9"/>
        <v/>
      </c>
      <c r="G68" s="16"/>
      <c r="H68" s="22" t="str">
        <f ca="1">IFERROR(__xludf.dummyfunction("iferror(1000+INT(($N$4-(index(split(G68,"":""),1)*60+index(split(G68,"":""),2 )))/0.2+1)*$N$5,"""")"),"")</f>
        <v/>
      </c>
      <c r="I68" s="16" t="str">
        <f t="shared" ca="1" si="10"/>
        <v/>
      </c>
      <c r="J68" s="16" t="str">
        <f t="shared" si="11"/>
        <v/>
      </c>
      <c r="K68" s="16" t="str">
        <f t="shared" si="12"/>
        <v/>
      </c>
      <c r="L68" s="16"/>
    </row>
    <row r="69" spans="1:12" ht="14.5" x14ac:dyDescent="0.35">
      <c r="A69" s="16"/>
      <c r="B69" s="16"/>
      <c r="C69" s="16"/>
      <c r="D69" s="16"/>
      <c r="E69" s="22" t="str">
        <f ca="1">IFERROR(__xludf.dummyfunction("iferror(1000+INT(($N$2-(index(split(D69,"":""),1)*60+index(split(D69,"":""),2 )))/0.2+1)*$N$3,"""")"),"")</f>
        <v/>
      </c>
      <c r="F69" s="16" t="str">
        <f t="shared" ca="1" si="9"/>
        <v/>
      </c>
      <c r="G69" s="16"/>
      <c r="H69" s="22" t="str">
        <f ca="1">IFERROR(__xludf.dummyfunction("iferror(1000+INT(($N$4-(index(split(G69,"":""),1)*60+index(split(G69,"":""),2 )))/0.2+1)*$N$5,"""")"),"")</f>
        <v/>
      </c>
      <c r="I69" s="16" t="str">
        <f t="shared" ca="1" si="10"/>
        <v/>
      </c>
      <c r="J69" s="16" t="str">
        <f t="shared" si="11"/>
        <v/>
      </c>
      <c r="K69" s="16" t="str">
        <f t="shared" si="12"/>
        <v/>
      </c>
      <c r="L69" s="16"/>
    </row>
    <row r="70" spans="1:12" ht="14.5" x14ac:dyDescent="0.35">
      <c r="A70" s="16"/>
      <c r="B70" s="16"/>
      <c r="C70" s="16"/>
      <c r="D70" s="16"/>
      <c r="E70" s="22" t="str">
        <f ca="1">IFERROR(__xludf.dummyfunction("iferror(1000+INT(($N$2-(index(split(D70,"":""),1)*60+index(split(D70,"":""),2 )))/0.2+1)*$N$3,"""")"),"")</f>
        <v/>
      </c>
      <c r="F70" s="16" t="str">
        <f t="shared" ca="1" si="9"/>
        <v/>
      </c>
      <c r="G70" s="16"/>
      <c r="H70" s="22" t="str">
        <f ca="1">IFERROR(__xludf.dummyfunction("iferror(1000+INT(($N$4-(index(split(G70,"":""),1)*60+index(split(G70,"":""),2 )))/0.2+1)*$N$5,"""")"),"")</f>
        <v/>
      </c>
      <c r="I70" s="16" t="str">
        <f t="shared" ca="1" si="10"/>
        <v/>
      </c>
      <c r="J70" s="16" t="str">
        <f t="shared" si="11"/>
        <v/>
      </c>
      <c r="K70" s="16" t="str">
        <f t="shared" si="12"/>
        <v/>
      </c>
      <c r="L70" s="16"/>
    </row>
    <row r="71" spans="1:12" ht="14.5" x14ac:dyDescent="0.35">
      <c r="A71" s="16"/>
      <c r="B71" s="16"/>
      <c r="C71" s="16"/>
      <c r="D71" s="16"/>
      <c r="E71" s="22" t="str">
        <f ca="1">IFERROR(__xludf.dummyfunction("iferror(1000+INT(($N$2-(index(split(D71,"":""),1)*60+index(split(D71,"":""),2 )))/0.2+1)*$N$3,"""")"),"")</f>
        <v/>
      </c>
      <c r="F71" s="16" t="str">
        <f t="shared" ca="1" si="9"/>
        <v/>
      </c>
      <c r="G71" s="16"/>
      <c r="H71" s="22" t="str">
        <f ca="1">IFERROR(__xludf.dummyfunction("iferror(1000+INT(($N$4-(index(split(G71,"":""),1)*60+index(split(G71,"":""),2 )))/0.2+1)*$N$5,"""")"),"")</f>
        <v/>
      </c>
      <c r="I71" s="16" t="str">
        <f t="shared" ca="1" si="10"/>
        <v/>
      </c>
      <c r="J71" s="16" t="str">
        <f t="shared" si="11"/>
        <v/>
      </c>
      <c r="K71" s="16" t="str">
        <f t="shared" si="12"/>
        <v/>
      </c>
      <c r="L71" s="16"/>
    </row>
    <row r="72" spans="1:12" ht="14.5" x14ac:dyDescent="0.35">
      <c r="A72" s="16"/>
      <c r="B72" s="16"/>
      <c r="C72" s="16"/>
      <c r="D72" s="16"/>
      <c r="E72" s="22" t="str">
        <f ca="1">IFERROR(__xludf.dummyfunction("iferror(1000+INT(($N$2-(index(split(D72,"":""),1)*60+index(split(D72,"":""),2 )))/0.2+1)*$N$3,"""")"),"")</f>
        <v/>
      </c>
      <c r="F72" s="16" t="str">
        <f t="shared" ca="1" si="9"/>
        <v/>
      </c>
      <c r="G72" s="16"/>
      <c r="H72" s="22" t="str">
        <f ca="1">IFERROR(__xludf.dummyfunction("iferror(1000+INT(($N$4-(index(split(G72,"":""),1)*60+index(split(G72,"":""),2 )))/0.2+1)*$N$5,"""")"),"")</f>
        <v/>
      </c>
      <c r="I72" s="16" t="str">
        <f t="shared" ca="1" si="10"/>
        <v/>
      </c>
      <c r="J72" s="16" t="str">
        <f t="shared" si="11"/>
        <v/>
      </c>
      <c r="K72" s="16" t="str">
        <f t="shared" si="12"/>
        <v/>
      </c>
      <c r="L72" s="16"/>
    </row>
    <row r="73" spans="1:12" ht="14.5" x14ac:dyDescent="0.35">
      <c r="A73" s="16"/>
      <c r="B73" s="16"/>
      <c r="C73" s="16"/>
      <c r="D73" s="16"/>
      <c r="E73" s="22" t="str">
        <f ca="1">IFERROR(__xludf.dummyfunction("iferror(1000+INT(($N$2-(index(split(D73,"":""),1)*60+index(split(D73,"":""),2 )))/0.2+1)*$N$3,"""")"),"")</f>
        <v/>
      </c>
      <c r="F73" s="16" t="str">
        <f t="shared" ca="1" si="9"/>
        <v/>
      </c>
      <c r="G73" s="16"/>
      <c r="H73" s="22" t="str">
        <f ca="1">IFERROR(__xludf.dummyfunction("iferror(1000+INT(($N$4-(index(split(G73,"":""),1)*60+index(split(G73,"":""),2 )))/0.2+1)*$N$5,"""")"),"")</f>
        <v/>
      </c>
      <c r="I73" s="16" t="str">
        <f t="shared" ca="1" si="10"/>
        <v/>
      </c>
      <c r="J73" s="16" t="str">
        <f t="shared" si="11"/>
        <v/>
      </c>
      <c r="K73" s="16" t="str">
        <f t="shared" si="12"/>
        <v/>
      </c>
      <c r="L73" s="16"/>
    </row>
    <row r="74" spans="1:12" ht="14.5" x14ac:dyDescent="0.35">
      <c r="A74" s="16"/>
      <c r="B74" s="16"/>
      <c r="C74" s="16"/>
      <c r="D74" s="16"/>
      <c r="E74" s="22" t="str">
        <f ca="1">IFERROR(__xludf.dummyfunction("iferror(1000+INT(($N$2-(index(split(D74,"":""),1)*60+index(split(D74,"":""),2 )))/0.2+1)*$N$3,"""")"),"")</f>
        <v/>
      </c>
      <c r="F74" s="16" t="str">
        <f t="shared" ca="1" si="9"/>
        <v/>
      </c>
      <c r="G74" s="16"/>
      <c r="H74" s="22" t="str">
        <f ca="1">IFERROR(__xludf.dummyfunction("iferror(1000+INT(($N$4-(index(split(G74,"":""),1)*60+index(split(G74,"":""),2 )))/0.2+1)*$N$5,"""")"),"")</f>
        <v/>
      </c>
      <c r="I74" s="16" t="str">
        <f t="shared" ca="1" si="10"/>
        <v/>
      </c>
      <c r="J74" s="16" t="str">
        <f t="shared" si="11"/>
        <v/>
      </c>
      <c r="K74" s="16" t="str">
        <f t="shared" si="12"/>
        <v/>
      </c>
      <c r="L74" s="16"/>
    </row>
    <row r="75" spans="1:12" ht="14.5" x14ac:dyDescent="0.35">
      <c r="A75" s="16"/>
      <c r="B75" s="16"/>
      <c r="C75" s="16"/>
      <c r="D75" s="16"/>
      <c r="E75" s="22" t="str">
        <f ca="1">IFERROR(__xludf.dummyfunction("iferror(1000+INT(($N$2-(index(split(D75,"":""),1)*60+index(split(D75,"":""),2 )))/0.2+1)*$N$3,"""")"),"")</f>
        <v/>
      </c>
      <c r="F75" s="16" t="str">
        <f t="shared" ca="1" si="9"/>
        <v/>
      </c>
      <c r="G75" s="16"/>
      <c r="H75" s="22" t="str">
        <f ca="1">IFERROR(__xludf.dummyfunction("iferror(1000+INT(($N$4-(index(split(G75,"":""),1)*60+index(split(G75,"":""),2 )))/0.2+1)*$N$5,"""")"),"")</f>
        <v/>
      </c>
      <c r="I75" s="16" t="str">
        <f t="shared" ca="1" si="10"/>
        <v/>
      </c>
      <c r="J75" s="16" t="str">
        <f t="shared" si="11"/>
        <v/>
      </c>
      <c r="K75" s="16" t="str">
        <f t="shared" si="12"/>
        <v/>
      </c>
      <c r="L75" s="16"/>
    </row>
    <row r="76" spans="1:12" ht="14.5" x14ac:dyDescent="0.35">
      <c r="A76" s="16"/>
      <c r="B76" s="16"/>
      <c r="C76" s="16"/>
      <c r="D76" s="16"/>
      <c r="E76" s="22" t="str">
        <f ca="1">IFERROR(__xludf.dummyfunction("iferror(1000+INT(($N$2-(index(split(D76,"":""),1)*60+index(split(D76,"":""),2 )))/0.2+1)*$N$3,"""")"),"")</f>
        <v/>
      </c>
      <c r="F76" s="16" t="str">
        <f t="shared" ca="1" si="9"/>
        <v/>
      </c>
      <c r="G76" s="16"/>
      <c r="H76" s="22" t="str">
        <f ca="1">IFERROR(__xludf.dummyfunction("iferror(1000+INT(($N$4-(index(split(G76,"":""),1)*60+index(split(G76,"":""),2 )))/0.2+1)*$N$5,"""")"),"")</f>
        <v/>
      </c>
      <c r="I76" s="16" t="str">
        <f t="shared" ca="1" si="10"/>
        <v/>
      </c>
      <c r="J76" s="16" t="str">
        <f t="shared" si="11"/>
        <v/>
      </c>
      <c r="K76" s="16" t="str">
        <f t="shared" si="12"/>
        <v/>
      </c>
      <c r="L76" s="16"/>
    </row>
    <row r="77" spans="1:12" ht="14.5" x14ac:dyDescent="0.35">
      <c r="A77" s="16"/>
      <c r="B77" s="16"/>
      <c r="C77" s="16"/>
      <c r="D77" s="16"/>
      <c r="E77" s="22" t="str">
        <f ca="1">IFERROR(__xludf.dummyfunction("iferror(1000+INT(($N$2-(index(split(D77,"":""),1)*60+index(split(D77,"":""),2 )))/0.2+1)*$N$3,"""")"),"")</f>
        <v/>
      </c>
      <c r="F77" s="16" t="str">
        <f t="shared" ca="1" si="9"/>
        <v/>
      </c>
      <c r="G77" s="16"/>
      <c r="H77" s="22" t="str">
        <f ca="1">IFERROR(__xludf.dummyfunction("iferror(1000+INT(($N$4-(index(split(G77,"":""),1)*60+index(split(G77,"":""),2 )))/0.2+1)*$N$5,"""")"),"")</f>
        <v/>
      </c>
      <c r="I77" s="16" t="str">
        <f t="shared" ca="1" si="10"/>
        <v/>
      </c>
      <c r="J77" s="16" t="str">
        <f t="shared" si="11"/>
        <v/>
      </c>
      <c r="K77" s="16" t="str">
        <f t="shared" si="12"/>
        <v/>
      </c>
      <c r="L77" s="16"/>
    </row>
    <row r="78" spans="1:12" ht="14.5" x14ac:dyDescent="0.35">
      <c r="A78" s="16"/>
      <c r="B78" s="16"/>
      <c r="C78" s="16"/>
      <c r="D78" s="16"/>
      <c r="E78" s="22" t="str">
        <f ca="1">IFERROR(__xludf.dummyfunction("iferror(1000+INT(($N$2-(index(split(D78,"":""),1)*60+index(split(D78,"":""),2 )))/0.2+1)*$N$3,"""")"),"")</f>
        <v/>
      </c>
      <c r="F78" s="16" t="str">
        <f t="shared" ca="1" si="9"/>
        <v/>
      </c>
      <c r="G78" s="16"/>
      <c r="H78" s="22" t="str">
        <f ca="1">IFERROR(__xludf.dummyfunction("iferror(1000+INT(($N$4-(index(split(G78,"":""),1)*60+index(split(G78,"":""),2 )))/0.2+1)*$N$5,"""")"),"")</f>
        <v/>
      </c>
      <c r="I78" s="16" t="str">
        <f t="shared" ca="1" si="10"/>
        <v/>
      </c>
      <c r="J78" s="16" t="str">
        <f t="shared" si="11"/>
        <v/>
      </c>
      <c r="K78" s="16" t="str">
        <f t="shared" si="12"/>
        <v/>
      </c>
      <c r="L78" s="16"/>
    </row>
    <row r="79" spans="1:12" ht="14.5" x14ac:dyDescent="0.35">
      <c r="A79" s="16"/>
      <c r="B79" s="16"/>
      <c r="C79" s="16"/>
      <c r="D79" s="16"/>
      <c r="E79" s="22" t="str">
        <f ca="1">IFERROR(__xludf.dummyfunction("iferror(1000+INT(($N$2-(index(split(D79,"":""),1)*60+index(split(D79,"":""),2 )))/0.2+1)*$N$3,"""")"),"")</f>
        <v/>
      </c>
      <c r="F79" s="16" t="str">
        <f t="shared" ca="1" si="9"/>
        <v/>
      </c>
      <c r="G79" s="16"/>
      <c r="H79" s="22" t="str">
        <f ca="1">IFERROR(__xludf.dummyfunction("iferror(1000+INT(($N$4-(index(split(G79,"":""),1)*60+index(split(G79,"":""),2 )))/0.2+1)*$N$5,"""")"),"")</f>
        <v/>
      </c>
      <c r="I79" s="16" t="str">
        <f t="shared" ca="1" si="10"/>
        <v/>
      </c>
      <c r="J79" s="16" t="str">
        <f t="shared" si="11"/>
        <v/>
      </c>
      <c r="K79" s="16" t="str">
        <f t="shared" si="12"/>
        <v/>
      </c>
      <c r="L79" s="16"/>
    </row>
    <row r="80" spans="1:12" ht="14.5" x14ac:dyDescent="0.35">
      <c r="A80" s="16"/>
      <c r="B80" s="16"/>
      <c r="C80" s="16"/>
      <c r="D80" s="16"/>
      <c r="E80" s="22" t="str">
        <f ca="1">IFERROR(__xludf.dummyfunction("iferror(1000+INT(($N$2-(index(split(D80,"":""),1)*60+index(split(D80,"":""),2 )))/0.2+1)*$N$3,"""")"),"")</f>
        <v/>
      </c>
      <c r="F80" s="16" t="str">
        <f t="shared" ca="1" si="9"/>
        <v/>
      </c>
      <c r="G80" s="16"/>
      <c r="H80" s="22" t="str">
        <f ca="1">IFERROR(__xludf.dummyfunction("iferror(1000+INT(($N$4-(index(split(G80,"":""),1)*60+index(split(G80,"":""),2 )))/0.2+1)*$N$5,"""")"),"")</f>
        <v/>
      </c>
      <c r="I80" s="16" t="str">
        <f t="shared" ca="1" si="10"/>
        <v/>
      </c>
      <c r="J80" s="16" t="str">
        <f t="shared" si="11"/>
        <v/>
      </c>
      <c r="K80" s="16" t="str">
        <f t="shared" si="12"/>
        <v/>
      </c>
      <c r="L80" s="16"/>
    </row>
    <row r="81" spans="1:12" ht="14.5" x14ac:dyDescent="0.35">
      <c r="A81" s="16"/>
      <c r="B81" s="16"/>
      <c r="C81" s="16"/>
      <c r="D81" s="16"/>
      <c r="E81" s="22" t="str">
        <f ca="1">IFERROR(__xludf.dummyfunction("iferror(1000+INT(($N$2-(index(split(D81,"":""),1)*60+index(split(D81,"":""),2 )))/0.2+1)*$N$3,"""")"),"")</f>
        <v/>
      </c>
      <c r="F81" s="16" t="str">
        <f t="shared" ca="1" si="9"/>
        <v/>
      </c>
      <c r="G81" s="16"/>
      <c r="H81" s="22" t="str">
        <f ca="1">IFERROR(__xludf.dummyfunction("iferror(1000+INT(($N$4-(index(split(G81,"":""),1)*60+index(split(G81,"":""),2 )))/0.2+1)*$N$5,"""")"),"")</f>
        <v/>
      </c>
      <c r="I81" s="16" t="str">
        <f t="shared" ca="1" si="10"/>
        <v/>
      </c>
      <c r="J81" s="16" t="str">
        <f t="shared" si="11"/>
        <v/>
      </c>
      <c r="K81" s="16" t="str">
        <f t="shared" si="12"/>
        <v/>
      </c>
      <c r="L81" s="16"/>
    </row>
    <row r="82" spans="1:12" ht="14.5" x14ac:dyDescent="0.35">
      <c r="A82" s="16"/>
      <c r="B82" s="16"/>
      <c r="C82" s="16"/>
      <c r="D82" s="16"/>
      <c r="E82" s="22" t="str">
        <f ca="1">IFERROR(__xludf.dummyfunction("iferror(1000+INT(($N$2-(index(split(D82,"":""),1)*60+index(split(D82,"":""),2 )))/0.2+1)*$N$3,"""")"),"")</f>
        <v/>
      </c>
      <c r="F82" s="16" t="str">
        <f t="shared" ca="1" si="9"/>
        <v/>
      </c>
      <c r="G82" s="16"/>
      <c r="H82" s="22" t="str">
        <f ca="1">IFERROR(__xludf.dummyfunction("iferror(1000+INT(($N$4-(index(split(G82,"":""),1)*60+index(split(G82,"":""),2 )))/0.2+1)*$N$5,"""")"),"")</f>
        <v/>
      </c>
      <c r="I82" s="16" t="str">
        <f t="shared" ca="1" si="10"/>
        <v/>
      </c>
      <c r="J82" s="16" t="str">
        <f t="shared" si="11"/>
        <v/>
      </c>
      <c r="K82" s="16" t="str">
        <f t="shared" si="12"/>
        <v/>
      </c>
      <c r="L82" s="16"/>
    </row>
    <row r="83" spans="1:12" ht="14.5" x14ac:dyDescent="0.35">
      <c r="A83" s="16"/>
      <c r="B83" s="16"/>
      <c r="C83" s="16"/>
      <c r="D83" s="16"/>
      <c r="E83" s="22" t="str">
        <f ca="1">IFERROR(__xludf.dummyfunction("iferror(1000+INT(($N$2-(index(split(D83,"":""),1)*60+index(split(D83,"":""),2 )))/0.2+1)*$N$3,"""")"),"")</f>
        <v/>
      </c>
      <c r="F83" s="16" t="str">
        <f t="shared" ca="1" si="9"/>
        <v/>
      </c>
      <c r="G83" s="16"/>
      <c r="H83" s="22" t="str">
        <f ca="1">IFERROR(__xludf.dummyfunction("iferror(1000+INT(($N$4-(index(split(G83,"":""),1)*60+index(split(G83,"":""),2 )))/0.2+1)*$N$5,"""")"),"")</f>
        <v/>
      </c>
      <c r="I83" s="16" t="str">
        <f t="shared" ca="1" si="10"/>
        <v/>
      </c>
      <c r="J83" s="16" t="str">
        <f t="shared" si="11"/>
        <v/>
      </c>
      <c r="K83" s="16" t="str">
        <f t="shared" si="12"/>
        <v/>
      </c>
      <c r="L83" s="16"/>
    </row>
    <row r="84" spans="1:12" ht="14.5" x14ac:dyDescent="0.35">
      <c r="A84" s="16"/>
      <c r="B84" s="16"/>
      <c r="C84" s="16"/>
      <c r="D84" s="16"/>
      <c r="E84" s="22" t="str">
        <f ca="1">IFERROR(__xludf.dummyfunction("iferror(1000+INT(($N$2-(index(split(D84,"":""),1)*60+index(split(D84,"":""),2 )))/0.2+1)*$N$3,"""")"),"")</f>
        <v/>
      </c>
      <c r="F84" s="16" t="str">
        <f t="shared" ca="1" si="9"/>
        <v/>
      </c>
      <c r="G84" s="16"/>
      <c r="H84" s="22" t="str">
        <f ca="1">IFERROR(__xludf.dummyfunction("iferror(1000+INT(($N$4-(index(split(G84,"":""),1)*60+index(split(G84,"":""),2 )))/0.2+1)*$N$5,"""")"),"")</f>
        <v/>
      </c>
      <c r="I84" s="16" t="str">
        <f t="shared" ca="1" si="10"/>
        <v/>
      </c>
      <c r="J84" s="16" t="str">
        <f t="shared" si="11"/>
        <v/>
      </c>
      <c r="K84" s="16" t="str">
        <f t="shared" si="12"/>
        <v/>
      </c>
      <c r="L84" s="16"/>
    </row>
    <row r="85" spans="1:12" ht="14.5" x14ac:dyDescent="0.35">
      <c r="A85" s="16"/>
      <c r="B85" s="16"/>
      <c r="C85" s="16"/>
      <c r="D85" s="16"/>
      <c r="E85" s="22" t="str">
        <f ca="1">IFERROR(__xludf.dummyfunction("iferror(1000+INT(($N$2-(index(split(D85,"":""),1)*60+index(split(D85,"":""),2 )))/0.2+1)*$N$3,"""")"),"")</f>
        <v/>
      </c>
      <c r="F85" s="16" t="str">
        <f t="shared" ca="1" si="9"/>
        <v/>
      </c>
      <c r="G85" s="16"/>
      <c r="H85" s="22" t="str">
        <f ca="1">IFERROR(__xludf.dummyfunction("iferror(1000+INT(($N$4-(index(split(G85,"":""),1)*60+index(split(G85,"":""),2 )))/0.2+1)*$N$5,"""")"),"")</f>
        <v/>
      </c>
      <c r="I85" s="16" t="str">
        <f t="shared" ca="1" si="10"/>
        <v/>
      </c>
      <c r="J85" s="16" t="str">
        <f t="shared" si="11"/>
        <v/>
      </c>
      <c r="K85" s="16" t="str">
        <f t="shared" si="12"/>
        <v/>
      </c>
      <c r="L85" s="16"/>
    </row>
    <row r="86" spans="1:12" ht="14.5" x14ac:dyDescent="0.35">
      <c r="A86" s="16"/>
      <c r="B86" s="16"/>
      <c r="C86" s="16"/>
      <c r="D86" s="16"/>
      <c r="E86" s="22" t="str">
        <f ca="1">IFERROR(__xludf.dummyfunction("iferror(1000+INT(($N$2-(index(split(D86,"":""),1)*60+index(split(D86,"":""),2 )))/0.2+1)*$N$3,"""")"),"")</f>
        <v/>
      </c>
      <c r="F86" s="16" t="str">
        <f t="shared" ca="1" si="9"/>
        <v/>
      </c>
      <c r="G86" s="16"/>
      <c r="H86" s="22" t="str">
        <f ca="1">IFERROR(__xludf.dummyfunction("iferror(1000+INT(($N$4-(index(split(G86,"":""),1)*60+index(split(G86,"":""),2 )))/0.2+1)*$N$5,"""")"),"")</f>
        <v/>
      </c>
      <c r="I86" s="16" t="str">
        <f t="shared" ca="1" si="10"/>
        <v/>
      </c>
      <c r="J86" s="16" t="str">
        <f t="shared" si="11"/>
        <v/>
      </c>
      <c r="K86" s="16" t="str">
        <f t="shared" si="12"/>
        <v/>
      </c>
      <c r="L86" s="16"/>
    </row>
    <row r="87" spans="1:12" ht="14.5" x14ac:dyDescent="0.35">
      <c r="A87" s="16"/>
      <c r="B87" s="16"/>
      <c r="C87" s="16"/>
      <c r="D87" s="16"/>
      <c r="E87" s="22" t="str">
        <f ca="1">IFERROR(__xludf.dummyfunction("iferror(1000+INT(($N$2-(index(split(D87,"":""),1)*60+index(split(D87,"":""),2 )))/0.2+1)*$N$3,"""")"),"")</f>
        <v/>
      </c>
      <c r="F87" s="16" t="str">
        <f t="shared" ca="1" si="9"/>
        <v/>
      </c>
      <c r="G87" s="16"/>
      <c r="H87" s="22" t="str">
        <f ca="1">IFERROR(__xludf.dummyfunction("iferror(1000+INT(($N$4-(index(split(G87,"":""),1)*60+index(split(G87,"":""),2 )))/0.2+1)*$N$5,"""")"),"")</f>
        <v/>
      </c>
      <c r="I87" s="16" t="str">
        <f t="shared" ca="1" si="10"/>
        <v/>
      </c>
      <c r="J87" s="16" t="str">
        <f t="shared" si="11"/>
        <v/>
      </c>
      <c r="K87" s="16" t="str">
        <f t="shared" si="12"/>
        <v/>
      </c>
      <c r="L87" s="16"/>
    </row>
    <row r="88" spans="1:12" ht="14.5" x14ac:dyDescent="0.35">
      <c r="A88" s="16"/>
      <c r="B88" s="16"/>
      <c r="C88" s="16"/>
      <c r="D88" s="16"/>
      <c r="E88" s="22" t="str">
        <f ca="1">IFERROR(__xludf.dummyfunction("iferror(1000+INT(($N$2-(index(split(D88,"":""),1)*60+index(split(D88,"":""),2 )))/0.2+1)*$N$3,"""")"),"")</f>
        <v/>
      </c>
      <c r="F88" s="16" t="str">
        <f t="shared" ca="1" si="9"/>
        <v/>
      </c>
      <c r="G88" s="16"/>
      <c r="H88" s="22" t="str">
        <f ca="1">IFERROR(__xludf.dummyfunction("iferror(1000+INT(($N$4-(index(split(G88,"":""),1)*60+index(split(G88,"":""),2 )))/0.2+1)*$N$5,"""")"),"")</f>
        <v/>
      </c>
      <c r="I88" s="16" t="str">
        <f t="shared" ca="1" si="10"/>
        <v/>
      </c>
      <c r="J88" s="16" t="str">
        <f t="shared" si="11"/>
        <v/>
      </c>
      <c r="K88" s="16" t="str">
        <f t="shared" si="12"/>
        <v/>
      </c>
      <c r="L88" s="16"/>
    </row>
    <row r="89" spans="1:12" ht="14.5" x14ac:dyDescent="0.35">
      <c r="A89" s="16"/>
      <c r="B89" s="16"/>
      <c r="C89" s="16"/>
      <c r="D89" s="16"/>
      <c r="E89" s="22" t="str">
        <f ca="1">IFERROR(__xludf.dummyfunction("iferror(1000+INT(($N$2-(index(split(D89,"":""),1)*60+index(split(D89,"":""),2 )))/0.2+1)*$N$3,"""")"),"")</f>
        <v/>
      </c>
      <c r="F89" s="16" t="str">
        <f t="shared" ca="1" si="9"/>
        <v/>
      </c>
      <c r="G89" s="16"/>
      <c r="H89" s="22" t="str">
        <f ca="1">IFERROR(__xludf.dummyfunction("iferror(1000+INT(($N$4-(index(split(G89,"":""),1)*60+index(split(G89,"":""),2 )))/0.2+1)*$N$5,"""")"),"")</f>
        <v/>
      </c>
      <c r="I89" s="16" t="str">
        <f t="shared" ca="1" si="10"/>
        <v/>
      </c>
      <c r="J89" s="16" t="str">
        <f t="shared" si="11"/>
        <v/>
      </c>
      <c r="K89" s="16" t="str">
        <f t="shared" si="12"/>
        <v/>
      </c>
      <c r="L89" s="16"/>
    </row>
    <row r="90" spans="1:12" ht="14.5" x14ac:dyDescent="0.35">
      <c r="A90" s="16"/>
      <c r="B90" s="16"/>
      <c r="C90" s="16"/>
      <c r="D90" s="16"/>
      <c r="E90" s="22" t="str">
        <f ca="1">IFERROR(__xludf.dummyfunction("iferror(1000+INT(($N$2-(index(split(D90,"":""),1)*60+index(split(D90,"":""),2 )))/0.2+1)*$N$3,"""")"),"")</f>
        <v/>
      </c>
      <c r="F90" s="16" t="str">
        <f t="shared" ca="1" si="9"/>
        <v/>
      </c>
      <c r="G90" s="16"/>
      <c r="H90" s="22" t="str">
        <f ca="1">IFERROR(__xludf.dummyfunction("iferror(1000+INT(($N$4-(index(split(G90,"":""),1)*60+index(split(G90,"":""),2 )))/0.2+1)*$N$5,"""")"),"")</f>
        <v/>
      </c>
      <c r="I90" s="16" t="str">
        <f t="shared" ca="1" si="10"/>
        <v/>
      </c>
      <c r="J90" s="16" t="str">
        <f t="shared" si="11"/>
        <v/>
      </c>
      <c r="K90" s="16" t="str">
        <f t="shared" si="12"/>
        <v/>
      </c>
      <c r="L90" s="16"/>
    </row>
    <row r="91" spans="1:12" ht="14.5" x14ac:dyDescent="0.35">
      <c r="A91" s="16"/>
      <c r="B91" s="16"/>
      <c r="C91" s="16"/>
      <c r="D91" s="16"/>
      <c r="E91" s="22" t="str">
        <f ca="1">IFERROR(__xludf.dummyfunction("iferror(1000+INT(($N$2-(index(split(D91,"":""),1)*60+index(split(D91,"":""),2 )))/0.2+1)*$N$3,"""")"),"")</f>
        <v/>
      </c>
      <c r="F91" s="16" t="str">
        <f t="shared" ca="1" si="9"/>
        <v/>
      </c>
      <c r="G91" s="16"/>
      <c r="H91" s="22" t="str">
        <f ca="1">IFERROR(__xludf.dummyfunction("iferror(1000+INT(($N$4-(index(split(G91,"":""),1)*60+index(split(G91,"":""),2 )))/0.2+1)*$N$5,"""")"),"")</f>
        <v/>
      </c>
      <c r="I91" s="16" t="str">
        <f t="shared" ca="1" si="10"/>
        <v/>
      </c>
      <c r="J91" s="16" t="str">
        <f t="shared" si="11"/>
        <v/>
      </c>
      <c r="K91" s="16" t="str">
        <f t="shared" si="12"/>
        <v/>
      </c>
      <c r="L91" s="16"/>
    </row>
    <row r="92" spans="1:12" ht="14.5" x14ac:dyDescent="0.35">
      <c r="A92" s="16"/>
      <c r="B92" s="16"/>
      <c r="C92" s="16"/>
      <c r="D92" s="16"/>
      <c r="E92" s="22" t="str">
        <f ca="1">IFERROR(__xludf.dummyfunction("iferror(1000+INT(($N$2-(index(split(D92,"":""),1)*60+index(split(D92,"":""),2 )))/0.2+1)*$N$3,"""")"),"")</f>
        <v/>
      </c>
      <c r="F92" s="16" t="str">
        <f t="shared" ca="1" si="9"/>
        <v/>
      </c>
      <c r="G92" s="16"/>
      <c r="H92" s="22" t="str">
        <f ca="1">IFERROR(__xludf.dummyfunction("iferror(1000+INT(($N$4-(index(split(G92,"":""),1)*60+index(split(G92,"":""),2 )))/0.2+1)*$N$5,"""")"),"")</f>
        <v/>
      </c>
      <c r="I92" s="16" t="str">
        <f t="shared" ca="1" si="10"/>
        <v/>
      </c>
      <c r="J92" s="16" t="str">
        <f t="shared" si="11"/>
        <v/>
      </c>
      <c r="K92" s="16" t="str">
        <f t="shared" si="12"/>
        <v/>
      </c>
      <c r="L92" s="16"/>
    </row>
    <row r="93" spans="1:12" ht="14.5" x14ac:dyDescent="0.35">
      <c r="A93" s="16"/>
      <c r="B93" s="16"/>
      <c r="C93" s="16"/>
      <c r="D93" s="16"/>
      <c r="E93" s="22" t="str">
        <f ca="1">IFERROR(__xludf.dummyfunction("iferror(1000+INT(($N$2-(index(split(D93,"":""),1)*60+index(split(D93,"":""),2 )))/0.2+1)*$N$3,"""")"),"")</f>
        <v/>
      </c>
      <c r="F93" s="16" t="str">
        <f t="shared" ca="1" si="9"/>
        <v/>
      </c>
      <c r="G93" s="16"/>
      <c r="H93" s="22" t="str">
        <f ca="1">IFERROR(__xludf.dummyfunction("iferror(1000+INT(($N$4-(index(split(G93,"":""),1)*60+index(split(G93,"":""),2 )))/0.2+1)*$N$5,"""")"),"")</f>
        <v/>
      </c>
      <c r="I93" s="16" t="str">
        <f t="shared" ca="1" si="10"/>
        <v/>
      </c>
      <c r="J93" s="16" t="str">
        <f t="shared" si="11"/>
        <v/>
      </c>
      <c r="K93" s="16" t="str">
        <f t="shared" si="12"/>
        <v/>
      </c>
      <c r="L93" s="16"/>
    </row>
    <row r="94" spans="1:12" ht="14.5" x14ac:dyDescent="0.35">
      <c r="A94" s="16"/>
      <c r="B94" s="16"/>
      <c r="C94" s="16"/>
      <c r="D94" s="16"/>
      <c r="E94" s="22" t="str">
        <f ca="1">IFERROR(__xludf.dummyfunction("iferror(1000+INT(($N$2-(index(split(D94,"":""),1)*60+index(split(D94,"":""),2 )))/0.2+1)*$N$3,"""")"),"")</f>
        <v/>
      </c>
      <c r="F94" s="16" t="str">
        <f t="shared" ca="1" si="9"/>
        <v/>
      </c>
      <c r="G94" s="16"/>
      <c r="H94" s="22" t="str">
        <f ca="1">IFERROR(__xludf.dummyfunction("iferror(1000+INT(($N$4-(index(split(G94,"":""),1)*60+index(split(G94,"":""),2 )))/0.2+1)*$N$5,"""")"),"")</f>
        <v/>
      </c>
      <c r="I94" s="16" t="str">
        <f t="shared" ca="1" si="10"/>
        <v/>
      </c>
      <c r="J94" s="16" t="str">
        <f t="shared" si="11"/>
        <v/>
      </c>
      <c r="K94" s="16" t="str">
        <f t="shared" si="12"/>
        <v/>
      </c>
      <c r="L94" s="16"/>
    </row>
    <row r="95" spans="1:12" ht="14.5" x14ac:dyDescent="0.35">
      <c r="A95" s="16"/>
      <c r="B95" s="16"/>
      <c r="C95" s="16"/>
      <c r="D95" s="16"/>
      <c r="E95" s="22" t="str">
        <f ca="1">IFERROR(__xludf.dummyfunction("iferror(1000+INT(($N$2-(index(split(D95,"":""),1)*60+index(split(D95,"":""),2 )))/0.2+1)*$N$3,"""")"),"")</f>
        <v/>
      </c>
      <c r="F95" s="16" t="str">
        <f t="shared" ca="1" si="9"/>
        <v/>
      </c>
      <c r="G95" s="16"/>
      <c r="H95" s="22" t="str">
        <f ca="1">IFERROR(__xludf.dummyfunction("iferror(1000+INT(($N$4-(index(split(G95,"":""),1)*60+index(split(G95,"":""),2 )))/0.2+1)*$N$5,"""")"),"")</f>
        <v/>
      </c>
      <c r="I95" s="16" t="str">
        <f t="shared" ca="1" si="10"/>
        <v/>
      </c>
      <c r="J95" s="16" t="str">
        <f t="shared" si="11"/>
        <v/>
      </c>
      <c r="K95" s="16" t="str">
        <f t="shared" si="12"/>
        <v/>
      </c>
      <c r="L95" s="16"/>
    </row>
    <row r="96" spans="1:12" ht="14.5" x14ac:dyDescent="0.35">
      <c r="A96" s="16"/>
      <c r="B96" s="16"/>
      <c r="C96" s="16"/>
      <c r="D96" s="16"/>
      <c r="E96" s="22" t="str">
        <f ca="1">IFERROR(__xludf.dummyfunction("iferror(1000+INT(($N$2-(index(split(D96,"":""),1)*60+index(split(D96,"":""),2 )))/0.2+1)*$N$3,"""")"),"")</f>
        <v/>
      </c>
      <c r="F96" s="16" t="str">
        <f t="shared" ca="1" si="9"/>
        <v/>
      </c>
      <c r="G96" s="16"/>
      <c r="H96" s="22" t="str">
        <f ca="1">IFERROR(__xludf.dummyfunction("iferror(1000+INT(($N$4-(index(split(G96,"":""),1)*60+index(split(G96,"":""),2 )))/0.2+1)*$N$5,"""")"),"")</f>
        <v/>
      </c>
      <c r="I96" s="16" t="str">
        <f t="shared" ca="1" si="10"/>
        <v/>
      </c>
      <c r="J96" s="16" t="str">
        <f t="shared" si="11"/>
        <v/>
      </c>
      <c r="K96" s="16" t="str">
        <f t="shared" si="12"/>
        <v/>
      </c>
      <c r="L96" s="16"/>
    </row>
    <row r="97" spans="1:12" ht="14.5" x14ac:dyDescent="0.35">
      <c r="A97" s="16"/>
      <c r="B97" s="16"/>
      <c r="C97" s="16"/>
      <c r="D97" s="16"/>
      <c r="E97" s="22" t="str">
        <f ca="1">IFERROR(__xludf.dummyfunction("iferror(1000+INT(($N$2-(index(split(D97,"":""),1)*60+index(split(D97,"":""),2 )))/0.2+1)*$N$3,"""")"),"")</f>
        <v/>
      </c>
      <c r="F97" s="16" t="str">
        <f t="shared" ca="1" si="9"/>
        <v/>
      </c>
      <c r="G97" s="16"/>
      <c r="H97" s="22" t="str">
        <f ca="1">IFERROR(__xludf.dummyfunction("iferror(1000+INT(($N$4-(index(split(G97,"":""),1)*60+index(split(G97,"":""),2 )))/0.2+1)*$N$5,"""")"),"")</f>
        <v/>
      </c>
      <c r="I97" s="16" t="str">
        <f t="shared" ca="1" si="10"/>
        <v/>
      </c>
      <c r="J97" s="16" t="str">
        <f t="shared" si="11"/>
        <v/>
      </c>
      <c r="K97" s="16" t="str">
        <f t="shared" si="12"/>
        <v/>
      </c>
      <c r="L97" s="16"/>
    </row>
    <row r="98" spans="1:12" ht="14.5" x14ac:dyDescent="0.35">
      <c r="A98" s="16"/>
      <c r="B98" s="16"/>
      <c r="C98" s="16"/>
      <c r="D98" s="16"/>
      <c r="E98" s="22" t="str">
        <f ca="1">IFERROR(__xludf.dummyfunction("iferror(1000+INT(($N$2-(index(split(D98,"":""),1)*60+index(split(D98,"":""),2 )))/0.2+1)*$N$3,"""")"),"")</f>
        <v/>
      </c>
      <c r="F98" s="16" t="str">
        <f t="shared" ref="F98:F129" ca="1" si="13">IFERROR(_xlfn.RANK.EQ(E98,E:E),"")</f>
        <v/>
      </c>
      <c r="G98" s="16"/>
      <c r="H98" s="22" t="str">
        <f ca="1">IFERROR(__xludf.dummyfunction("iferror(1000+INT(($N$4-(index(split(G98,"":""),1)*60+index(split(G98,"":""),2 )))/0.2+1)*$N$5,"""")"),"")</f>
        <v/>
      </c>
      <c r="I98" s="16" t="str">
        <f t="shared" ref="I98:I129" ca="1" si="14">IFERROR(_xlfn.RANK.EQ(H98,H:H),"")</f>
        <v/>
      </c>
      <c r="J98" s="16" t="str">
        <f t="shared" si="11"/>
        <v/>
      </c>
      <c r="K98" s="16" t="str">
        <f t="shared" ref="K98:K129" si="15">IFERROR(_xlfn.RANK.EQ(J98,J:J),"")</f>
        <v/>
      </c>
      <c r="L98" s="16"/>
    </row>
    <row r="99" spans="1:12" ht="14.5" x14ac:dyDescent="0.35">
      <c r="A99" s="16"/>
      <c r="B99" s="16"/>
      <c r="C99" s="16"/>
      <c r="D99" s="16"/>
      <c r="E99" s="22" t="str">
        <f ca="1">IFERROR(__xludf.dummyfunction("iferror(1000+INT(($N$2-(index(split(D99,"":""),1)*60+index(split(D99,"":""),2 )))/0.2+1)*$N$3,"""")"),"")</f>
        <v/>
      </c>
      <c r="F99" s="16" t="str">
        <f t="shared" ca="1" si="13"/>
        <v/>
      </c>
      <c r="G99" s="16"/>
      <c r="H99" s="22" t="str">
        <f ca="1">IFERROR(__xludf.dummyfunction("iferror(1000+INT(($N$4-(index(split(G99,"":""),1)*60+index(split(G99,"":""),2 )))/0.2+1)*$N$5,"""")"),"")</f>
        <v/>
      </c>
      <c r="I99" s="16" t="str">
        <f t="shared" ca="1" si="14"/>
        <v/>
      </c>
      <c r="J99" s="16" t="str">
        <f t="shared" si="11"/>
        <v/>
      </c>
      <c r="K99" s="16" t="str">
        <f t="shared" si="15"/>
        <v/>
      </c>
      <c r="L99" s="16"/>
    </row>
    <row r="100" spans="1:12" ht="14.5" x14ac:dyDescent="0.35">
      <c r="A100" s="16"/>
      <c r="B100" s="16"/>
      <c r="C100" s="16"/>
      <c r="D100" s="16"/>
      <c r="E100" s="22" t="str">
        <f ca="1">IFERROR(__xludf.dummyfunction("iferror(1000+INT(($N$2-(index(split(D100,"":""),1)*60+index(split(D100,"":""),2 )))/0.2+1)*$N$3,"""")"),"")</f>
        <v/>
      </c>
      <c r="F100" s="16" t="str">
        <f t="shared" ca="1" si="13"/>
        <v/>
      </c>
      <c r="G100" s="16"/>
      <c r="H100" s="22" t="str">
        <f ca="1">IFERROR(__xludf.dummyfunction("iferror(1000+INT(($N$4-(index(split(G100,"":""),1)*60+index(split(G100,"":""),2 )))/0.2+1)*$N$5,"""")"),"")</f>
        <v/>
      </c>
      <c r="I100" s="16" t="str">
        <f t="shared" ca="1" si="14"/>
        <v/>
      </c>
      <c r="J100" s="16" t="str">
        <f t="shared" si="11"/>
        <v/>
      </c>
      <c r="K100" s="16" t="str">
        <f t="shared" si="15"/>
        <v/>
      </c>
      <c r="L100" s="16"/>
    </row>
    <row r="101" spans="1:12" ht="14.5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4.5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4.5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4.5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4.5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4.5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4.5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4.5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4.5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4.5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4.5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4.5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4.5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4.5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4.5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4.5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4.5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4.5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4.5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4.5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4.5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4.5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4.5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4.5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4.5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4.5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4.5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4.5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4.5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4.5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4.5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4.5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4.5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4.5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4.5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4.5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4.5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4.5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4.5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4.5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4.5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4.5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4.5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4.5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4.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4.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4.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4.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4.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4.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4.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4.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4.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4.5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4.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4.5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4.5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4.5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4.5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4.5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4.5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4.5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ht="14.5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4.5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ht="14.5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ht="14.5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4.5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4.5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5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4.5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4.5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4.5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4.5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4.5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4.5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4.5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4.5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4.5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4.5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4.5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4.5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4.5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4.5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4.5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4.5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4.5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4.5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4.5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4.5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4.5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4.5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4.5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4.5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4.5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4.5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4.5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4.5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4.5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4.5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4.5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4.5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4.5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4.5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4.5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4.5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4.5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4.5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4.5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4.5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4.5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4.5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4.5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4.5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4.5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4.5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4.5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4.5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4.5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4.5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4.5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4.5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4.5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4.5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4.5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4.5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4.5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4.5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4.5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4.5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4.5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4.5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4.5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4.5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5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4.5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4.5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4.5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4.5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4.5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4.5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4.5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4.5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4.5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4.5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4.5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4.5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4.5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4.5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4.5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4.5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4.5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4.5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4.5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4.5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4.5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4.5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4.5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4.5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4.5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4.5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4.5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4.5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4.5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4.5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4.5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4.5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4.5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4.5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4.5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4.5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4.5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4.5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4.5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4.5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4.5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4.5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4.5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4.5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4.5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4.5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4.5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4.5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4.5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4.5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4.5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4.5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4.5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4.5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4.5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4.5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4.5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4.5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4.5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4.5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4.5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4.5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4.5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4.5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4.5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4.5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4.5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4.5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4.5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4.5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4.5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4.5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4.5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4.5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4.5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4.5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4.5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4.5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4.5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4.5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4.5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4.5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4.5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4.5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4.5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4.5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4.5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4.5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4.5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4.5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4.5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4.5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4.5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4.5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4.5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4.5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4.5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4.5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4.5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4.5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4.5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4.5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4.5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4.5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4.5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4.5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4.5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4.5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4.5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4.5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4.5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4.5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4.5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4.5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4.5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4.5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4.5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4.5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4.5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4.5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4.5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4.5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4.5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4.5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4.5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4.5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4.5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4.5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4.5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4.5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4.5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4.5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4.5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4.5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4.5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4.5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4.5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4.5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4.5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4.5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4.5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4.5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4.5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4.5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4.5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ht="14.5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ht="14.5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ht="14.5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ht="14.5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ht="14.5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ht="14.5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ht="14.5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ht="14.5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ht="14.5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ht="14.5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ht="14.5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ht="14.5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ht="14.5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ht="14.5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ht="14.5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ht="14.5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ht="14.5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ht="14.5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ht="14.5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ht="14.5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ht="14.5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ht="14.5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ht="14.5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ht="14.5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ht="14.5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ht="14.5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ht="14.5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ht="14.5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ht="14.5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ht="14.5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ht="14.5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ht="14.5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ht="14.5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ht="14.5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ht="14.5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ht="14.5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ht="14.5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ht="14.5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ht="14.5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ht="14.5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ht="14.5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ht="14.5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ht="14.5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ht="14.5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ht="14.5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ht="14.5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ht="14.5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ht="14.5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ht="14.5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ht="14.5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ht="14.5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ht="14.5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ht="14.5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ht="14.5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ht="14.5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ht="14.5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ht="14.5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ht="14.5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 ht="14.5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 ht="14.5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 ht="14.5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 ht="14.5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 ht="14.5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 ht="14.5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 ht="14.5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 ht="14.5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 ht="14.5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 ht="14.5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 ht="14.5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 ht="14.5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 ht="14.5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 ht="14.5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 ht="14.5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 ht="14.5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 ht="14.5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 ht="14.5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 ht="14.5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 ht="14.5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 ht="14.5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 ht="14.5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 ht="14.5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 ht="14.5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 ht="14.5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 ht="14.5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 ht="14.5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 ht="14.5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 ht="14.5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 ht="14.5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 ht="14.5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 ht="14.5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 ht="14.5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 ht="14.5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 ht="14.5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 ht="14.5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 ht="14.5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 ht="14.5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 ht="14.5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 ht="14.5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 ht="14.5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 ht="14.5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 ht="14.5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 ht="14.5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 ht="14.5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 ht="14.5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 ht="14.5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 ht="14.5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 ht="14.5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 ht="14.5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 ht="14.5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 ht="14.5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 ht="14.5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 ht="14.5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 ht="14.5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 ht="14.5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 ht="14.5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 ht="14.5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 ht="14.5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 ht="14.5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 ht="14.5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 ht="14.5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 ht="14.5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 ht="14.5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 ht="14.5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 ht="14.5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 ht="14.5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 ht="14.5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 ht="14.5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 ht="14.5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 ht="14.5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 ht="14.5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 ht="14.5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 ht="14.5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 ht="14.5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 ht="14.5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 ht="14.5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 ht="14.5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 ht="14.5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 ht="14.5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 ht="14.5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 ht="14.5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 ht="14.5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ht="14.5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ht="14.5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ht="14.5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ht="14.5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ht="14.5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ht="14.5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ht="14.5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ht="14.5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 ht="14.5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 ht="14.5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 ht="14.5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 ht="14.5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 ht="14.5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 ht="14.5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 ht="14.5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 ht="14.5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 ht="14.5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 ht="14.5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 ht="14.5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 ht="14.5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 ht="14.5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 ht="14.5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 ht="14.5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 ht="14.5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 ht="14.5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 ht="14.5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 ht="14.5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 ht="14.5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 ht="14.5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 ht="14.5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 ht="14.5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 ht="14.5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 ht="14.5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 ht="14.5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 ht="14.5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 ht="14.5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 ht="14.5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 ht="14.5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 ht="14.5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 ht="14.5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 ht="14.5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 ht="14.5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 ht="14.5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 ht="14.5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 ht="14.5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 ht="14.5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 ht="14.5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 ht="14.5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 ht="14.5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 ht="14.5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 ht="14.5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 ht="14.5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 ht="14.5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 ht="14.5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 ht="14.5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 ht="14.5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 ht="14.5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 ht="14.5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 ht="14.5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 ht="14.5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 ht="14.5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 ht="14.5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 ht="14.5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 ht="14.5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 ht="14.5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 ht="14.5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 ht="14.5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 ht="14.5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 ht="14.5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 ht="14.5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 ht="14.5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 ht="14.5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 ht="14.5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 ht="14.5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 ht="14.5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 ht="14.5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 ht="14.5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 ht="14.5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 ht="14.5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 ht="14.5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 ht="14.5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 ht="14.5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 ht="14.5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 ht="14.5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 ht="14.5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 ht="14.5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 ht="14.5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 ht="14.5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 ht="14.5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 ht="14.5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 ht="14.5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 ht="14.5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 ht="14.5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 ht="14.5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 ht="14.5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 ht="14.5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 ht="14.5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 ht="14.5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 ht="14.5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 ht="14.5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 ht="14.5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 ht="14.5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 ht="14.5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 ht="14.5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 ht="14.5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 ht="14.5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 ht="14.5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 ht="14.5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 ht="14.5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 ht="14.5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 ht="14.5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 ht="14.5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 ht="14.5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 ht="14.5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 ht="14.5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 ht="14.5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 ht="14.5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 ht="14.5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 ht="14.5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 ht="14.5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 ht="14.5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 ht="14.5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 ht="14.5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 ht="14.5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 ht="14.5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 ht="14.5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 ht="14.5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 ht="14.5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 ht="14.5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 ht="14.5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 ht="14.5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 ht="14.5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 ht="14.5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 ht="14.5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 ht="14.5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 ht="14.5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 ht="14.5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 ht="14.5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 ht="14.5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 ht="14.5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 ht="14.5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 ht="14.5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 ht="14.5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 ht="14.5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 ht="14.5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 ht="14.5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 ht="14.5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 ht="14.5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 ht="14.5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 ht="14.5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 ht="14.5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 ht="14.5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 ht="14.5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 ht="14.5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 ht="14.5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 ht="14.5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 ht="14.5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 ht="14.5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 ht="14.5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 ht="14.5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 ht="14.5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 ht="14.5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 ht="14.5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 ht="14.5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 ht="14.5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 ht="14.5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 ht="14.5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 ht="14.5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 ht="14.5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 ht="14.5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 ht="14.5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 ht="14.5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 ht="14.5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 ht="14.5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 ht="14.5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 ht="14.5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 ht="14.5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 ht="14.5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 ht="14.5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 ht="14.5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 ht="14.5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 ht="14.5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 ht="14.5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 ht="14.5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 ht="14.5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 ht="14.5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 ht="14.5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 ht="14.5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 ht="14.5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 ht="14.5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 ht="14.5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 ht="14.5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 ht="14.5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 ht="14.5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 ht="14.5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 ht="14.5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 ht="14.5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 ht="14.5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 ht="14.5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 ht="14.5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 ht="14.5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 ht="14.5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 ht="14.5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 ht="14.5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 ht="14.5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 ht="14.5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 ht="14.5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 ht="14.5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 ht="14.5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 ht="14.5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 ht="14.5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 ht="14.5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 ht="14.5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 ht="14.5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 ht="14.5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 ht="14.5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 ht="14.5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 ht="14.5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 ht="14.5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 ht="14.5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 ht="14.5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 ht="14.5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 ht="14.5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 ht="14.5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 ht="14.5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 ht="14.5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 ht="14.5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 ht="14.5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 ht="14.5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 ht="14.5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 ht="14.5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 ht="14.5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 ht="14.5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 ht="14.5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 ht="14.5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 ht="14.5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 ht="14.5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 ht="14.5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 ht="14.5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 ht="14.5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 ht="14.5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 ht="14.5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 ht="14.5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 ht="14.5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 ht="14.5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 ht="14.5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 ht="14.5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 ht="14.5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 ht="14.5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 ht="14.5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 ht="14.5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 ht="14.5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 ht="14.5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 ht="14.5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 ht="14.5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 ht="14.5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 ht="14.5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 ht="14.5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 ht="14.5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 ht="14.5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 ht="14.5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 ht="14.5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 ht="14.5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 ht="14.5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 ht="14.5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 ht="14.5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 ht="14.5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 ht="14.5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 ht="14.5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 ht="14.5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 ht="14.5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 ht="14.5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 ht="14.5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 ht="14.5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 ht="14.5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 ht="14.5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 ht="14.5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 ht="14.5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 ht="14.5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 ht="14.5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 ht="14.5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 ht="14.5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 ht="14.5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 ht="14.5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 ht="14.5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 ht="14.5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 ht="14.5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 ht="14.5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 ht="14.5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 ht="14.5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 ht="14.5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 ht="14.5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 ht="14.5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 ht="14.5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 ht="14.5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 ht="14.5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 ht="14.5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 ht="14.5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 ht="14.5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 ht="14.5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 ht="14.5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 ht="14.5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 ht="14.5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 ht="14.5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 ht="14.5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 ht="14.5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 ht="14.5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 ht="14.5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 ht="14.5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 ht="14.5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 ht="14.5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 ht="14.5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 ht="14.5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 ht="14.5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 ht="14.5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 ht="14.5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 ht="14.5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 ht="14.5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 ht="14.5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 ht="14.5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 ht="14.5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 ht="14.5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 ht="14.5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 ht="14.5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 ht="14.5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 ht="14.5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 ht="14.5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 ht="14.5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 ht="14.5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 ht="14.5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 ht="14.5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 ht="14.5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 ht="14.5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 ht="14.5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 ht="14.5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 ht="14.5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 ht="14.5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 ht="14.5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 ht="14.5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 ht="14.5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 ht="14.5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 ht="14.5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 ht="14.5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 ht="14.5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 ht="14.5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 ht="14.5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 ht="14.5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 ht="14.5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 ht="14.5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 ht="14.5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 ht="14.5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 ht="14.5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 ht="14.5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 ht="14.5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 ht="14.5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 ht="14.5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 ht="14.5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 ht="14.5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 ht="14.5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 ht="14.5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 ht="14.5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 ht="14.5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 ht="14.5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 ht="14.5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 ht="14.5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 ht="14.5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 ht="14.5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 ht="14.5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 ht="14.5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 ht="14.5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 ht="14.5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 ht="14.5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 ht="14.5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 ht="14.5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 ht="14.5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 ht="14.5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 ht="14.5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 ht="14.5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 ht="14.5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 ht="14.5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 ht="14.5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 ht="14.5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 ht="14.5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 ht="14.5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 ht="14.5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 ht="14.5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 ht="14.5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 ht="14.5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 ht="14.5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 ht="14.5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 ht="14.5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 ht="14.5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 ht="14.5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 ht="14.5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 ht="14.5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 ht="14.5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 ht="14.5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 ht="14.5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 ht="14.5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 ht="14.5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 ht="14.5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 ht="14.5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 ht="14.5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 ht="14.5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 ht="14.5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</sheetData>
  <sortState xmlns:xlrd2="http://schemas.microsoft.com/office/spreadsheetml/2017/richdata2" ref="A2:L13">
    <sortCondition ref="K2:K13"/>
  </sortState>
  <printOptions horizontalCentered="1" gridLines="1"/>
  <pageMargins left="0.7" right="0.7" top="1.1437499999999998" bottom="1.1437499999999998" header="0.75" footer="0.75"/>
  <pageSetup paperSize="9" fitToWidth="0" fitToHeight="0" pageOrder="overThenDown" orientation="landscape" horizontalDpi="300" verticalDpi="300" r:id="rId1"/>
  <headerFooter alignWithMargins="0"/>
  <ignoredErrors>
    <ignoredError sqref="J2:J12 J14:J2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'Scoring tables'!$A$2:$A$57</xm:f>
          </x14:formula1>
          <xm:sqref>L1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workbookViewId="0">
      <selection activeCell="A15" sqref="A15:K15"/>
    </sheetView>
  </sheetViews>
  <sheetFormatPr defaultRowHeight="15.75" customHeight="1" x14ac:dyDescent="0.35"/>
  <cols>
    <col min="1" max="1" width="10.4140625" style="25" customWidth="1"/>
    <col min="2" max="2" width="23.58203125" style="25" customWidth="1"/>
    <col min="3" max="3" width="22.4140625" style="25" customWidth="1"/>
    <col min="4" max="11" width="8.4140625" style="25" customWidth="1"/>
    <col min="12" max="1024" width="11.6640625" style="25" customWidth="1"/>
    <col min="1025" max="16384" width="8.6640625" style="25"/>
  </cols>
  <sheetData>
    <row r="1" spans="1:14" ht="30.75" customHeight="1" x14ac:dyDescent="0.35">
      <c r="A1" s="20" t="s">
        <v>0</v>
      </c>
      <c r="B1" s="20" t="s">
        <v>26</v>
      </c>
      <c r="C1" s="20" t="s">
        <v>27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15</v>
      </c>
    </row>
    <row r="2" spans="1:14" ht="14.5" x14ac:dyDescent="0.35">
      <c r="A2" s="16">
        <f ca="1">IFERROR(__xludf.dummyfunction("""COMPUTED_VALUE"""),128)</f>
        <v>128</v>
      </c>
      <c r="B2" s="3" t="str">
        <f ca="1">IFERROR(__xludf.dummyfunction("""COMPUTED_VALUE"""),"Wilf Beale")</f>
        <v>Wilf Beale</v>
      </c>
      <c r="C2" s="3" t="str">
        <f ca="1">IFERROR(__xludf.dummyfunction("""COMPUTED_VALUE"""),"Durham Johnston Comprehensive")</f>
        <v>Durham Johnston Comprehensive</v>
      </c>
      <c r="D2" s="16" t="s">
        <v>123</v>
      </c>
      <c r="E2" s="22">
        <f ca="1">IFERROR(__xludf.dummyfunction("iferror(1000+INT(($N$2-(index(split(D3,"":""),1)*60+index(split(D3,"":""),2 )))/0.2+1)*$N$3,"""")"),1208)</f>
        <v>1208</v>
      </c>
      <c r="F2" s="16">
        <f ca="1">IFERROR(_xlfn.RANK.EQ(E2,E:E),"")</f>
        <v>1</v>
      </c>
      <c r="G2" s="16" t="s">
        <v>124</v>
      </c>
      <c r="H2" s="22">
        <f ca="1">IFERROR(__xludf.dummyfunction("iferror(1000+INT(($N$4-(index(split(G3,"":""),1)*60+index(split(G3,"":""),2 )))/0.2+1)*$N$5,"""")"),1137)</f>
        <v>1137</v>
      </c>
      <c r="I2" s="16">
        <f ca="1">IFERROR(_xlfn.RANK.EQ(H2,H:H),"")</f>
        <v>5</v>
      </c>
      <c r="J2" s="22">
        <f ca="1">IF(AND(D2="", G2=""), "", E2+H2)</f>
        <v>2345</v>
      </c>
      <c r="K2" s="16">
        <f ca="1">IFERROR(_xlfn.RANK.EQ(J2,J:J),"")</f>
        <v>1</v>
      </c>
      <c r="L2" s="16"/>
      <c r="M2" s="21" t="s">
        <v>38</v>
      </c>
      <c r="N2" s="26">
        <f>VLOOKUP($L$1,'Scoring tables'!$A$2:$K$57,10,0)</f>
        <v>74</v>
      </c>
    </row>
    <row r="3" spans="1:14" ht="14.5" x14ac:dyDescent="0.35">
      <c r="A3" s="16">
        <f ca="1">IFERROR(__xludf.dummyfunction("""COMPUTED_VALUE"""),129)</f>
        <v>129</v>
      </c>
      <c r="B3" s="3" t="str">
        <f ca="1">IFERROR(__xludf.dummyfunction("""COMPUTED_VALUE"""),"Frederick Preston")</f>
        <v>Frederick Preston</v>
      </c>
      <c r="C3" s="3" t="str">
        <f ca="1">IFERROR(__xludf.dummyfunction("""COMPUTED_VALUE"""),"The Kings School.")</f>
        <v>The Kings School.</v>
      </c>
      <c r="D3" s="16" t="s">
        <v>125</v>
      </c>
      <c r="E3" s="22">
        <f ca="1">IFERROR(__xludf.dummyfunction("iferror(1000+INT(($N$2-(index(split(D4,"":""),1)*60+index(split(D4,"":""),2 )))/0.2+1)*$N$3,"""")"),1072)</f>
        <v>1072</v>
      </c>
      <c r="F3" s="16">
        <f ca="1">IFERROR(_xlfn.RANK.EQ(E3,E:E),"")</f>
        <v>3</v>
      </c>
      <c r="G3" s="16" t="s">
        <v>126</v>
      </c>
      <c r="H3" s="22">
        <f ca="1">IFERROR(__xludf.dummyfunction("iferror(1000+INT(($N$4-(index(split(G4,"":""),1)*60+index(split(G4,"":""),2 )))/0.2+1)*$N$5,"""")"),1166)</f>
        <v>1166</v>
      </c>
      <c r="I3" s="16">
        <f ca="1">IFERROR(_xlfn.RANK.EQ(H3,H:H),"")</f>
        <v>4</v>
      </c>
      <c r="J3" s="22">
        <f t="shared" ref="J3:J21" ca="1" si="0">IF(AND(D3="", G3=""), "", E3+H3)</f>
        <v>2238</v>
      </c>
      <c r="K3" s="16">
        <f ca="1">IFERROR(_xlfn.RANK.EQ(J3,J:J),"")</f>
        <v>2</v>
      </c>
      <c r="L3" s="16"/>
      <c r="M3" s="21" t="s">
        <v>39</v>
      </c>
      <c r="N3" s="26">
        <f>VLOOKUP($L$1,'Scoring tables'!$A$2:$K$57,11,0)</f>
        <v>4</v>
      </c>
    </row>
    <row r="4" spans="1:14" ht="14.5" x14ac:dyDescent="0.35">
      <c r="A4" s="16">
        <f ca="1">IFERROR(__xludf.dummyfunction("""COMPUTED_VALUE"""),130)</f>
        <v>130</v>
      </c>
      <c r="B4" s="3" t="str">
        <f ca="1">IFERROR(__xludf.dummyfunction("""COMPUTED_VALUE"""),"Max Myles")</f>
        <v>Max Myles</v>
      </c>
      <c r="C4" s="3" t="str">
        <f ca="1">IFERROR(__xludf.dummyfunction("""COMPUTED_VALUE"""),"St Edwards College (Secondary)")</f>
        <v>St Edwards College (Secondary)</v>
      </c>
      <c r="D4" s="16" t="s">
        <v>127</v>
      </c>
      <c r="E4" s="22">
        <f ca="1">IFERROR(__xludf.dummyfunction("iferror(1000+INT(($N$2-(index(split(D5,"":""),1)*60+index(split(D5,"":""),2 )))/0.2+1)*$N$3,"""")"),1012)</f>
        <v>1012</v>
      </c>
      <c r="F4" s="16">
        <f ca="1">IFERROR(_xlfn.RANK.EQ(E4,E:E),"")</f>
        <v>5</v>
      </c>
      <c r="G4" s="16" t="s">
        <v>128</v>
      </c>
      <c r="H4" s="22">
        <f ca="1">IFERROR(__xludf.dummyfunction("iferror(1000+INT(($N$4-(index(split(G5,"":""),1)*60+index(split(G5,"":""),2 )))/0.2+1)*$N$5,"""")"),1205)</f>
        <v>1205</v>
      </c>
      <c r="I4" s="16">
        <f ca="1">IFERROR(_xlfn.RANK.EQ(H4,H:H),"")</f>
        <v>2</v>
      </c>
      <c r="J4" s="22">
        <f t="shared" ca="1" si="0"/>
        <v>2217</v>
      </c>
      <c r="K4" s="16">
        <f ca="1">IFERROR(_xlfn.RANK.EQ(J4,J:J),"")</f>
        <v>3</v>
      </c>
      <c r="L4" s="16"/>
      <c r="M4" s="21" t="s">
        <v>31</v>
      </c>
      <c r="N4" s="26">
        <f>VLOOKUP($L$1,'Scoring tables'!$A$2:$K$57,5,0)</f>
        <v>370</v>
      </c>
    </row>
    <row r="5" spans="1:14" ht="14.5" x14ac:dyDescent="0.35">
      <c r="A5" s="16">
        <f ca="1">IFERROR(__xludf.dummyfunction("""COMPUTED_VALUE"""),135)</f>
        <v>135</v>
      </c>
      <c r="B5" s="5" t="str">
        <f ca="1">IFERROR(__xludf.dummyfunction("""COMPUTED_VALUE"""),"Milo Williams")</f>
        <v>Milo Williams</v>
      </c>
      <c r="C5" s="5"/>
      <c r="D5" s="16" t="s">
        <v>137</v>
      </c>
      <c r="E5" s="22">
        <f ca="1">IFERROR(__xludf.dummyfunction("iferror(1000+INT(($N$2-(index(split(D10,"":""),1)*60+index(split(D10,"":""),2 )))/0.2+1)*$N$3,"""")"),984)</f>
        <v>984</v>
      </c>
      <c r="F5" s="16">
        <f ca="1">IFERROR(_xlfn.RANK.EQ(E5,E:E),"")</f>
        <v>6</v>
      </c>
      <c r="G5" s="16" t="s">
        <v>138</v>
      </c>
      <c r="H5" s="22">
        <f ca="1">IFERROR(__xludf.dummyfunction("iferror(1000+INT(($N$4-(index(split(G10,"":""),1)*60+index(split(G10,"":""),2 )))/0.2+1)*$N$5,"""")"),1195)</f>
        <v>1195</v>
      </c>
      <c r="I5" s="16">
        <f ca="1">IFERROR(_xlfn.RANK.EQ(H5,H:H),"")</f>
        <v>3</v>
      </c>
      <c r="J5" s="22">
        <f t="shared" ca="1" si="0"/>
        <v>2179</v>
      </c>
      <c r="K5" s="16">
        <f ca="1">IFERROR(_xlfn.RANK.EQ(J5,J:J),"")</f>
        <v>4</v>
      </c>
      <c r="L5" s="16"/>
      <c r="M5" s="21" t="s">
        <v>32</v>
      </c>
      <c r="N5" s="26">
        <f>VLOOKUP($L$1,'Scoring tables'!$A$2:$K$57,6,0)</f>
        <v>1</v>
      </c>
    </row>
    <row r="6" spans="1:14" ht="14.5" x14ac:dyDescent="0.35">
      <c r="A6" s="16">
        <f ca="1">IFERROR(__xludf.dummyfunction("""COMPUTED_VALUE"""),140)</f>
        <v>140</v>
      </c>
      <c r="B6" s="5" t="str">
        <f ca="1">IFERROR(__xludf.dummyfunction("""COMPUTED_VALUE"""),"Reuben Schofield")</f>
        <v>Reuben Schofield</v>
      </c>
      <c r="C6" s="5" t="str">
        <f ca="1">IFERROR(__xludf.dummyfunction("""COMPUTED_VALUE"""),"Lancaster Royal Grammar School")</f>
        <v>Lancaster Royal Grammar School</v>
      </c>
      <c r="D6" s="16" t="s">
        <v>147</v>
      </c>
      <c r="E6" s="22">
        <f ca="1">IFERROR(__xludf.dummyfunction("iferror(1000+INT(($N$2-(index(split(D15,"":""),1)*60+index(split(D15,"":""),2 )))/0.2+1)*$N$3,"""")"),1132)</f>
        <v>1132</v>
      </c>
      <c r="F6" s="16">
        <f ca="1">IFERROR(_xlfn.RANK.EQ(E6,E:E),"")</f>
        <v>2</v>
      </c>
      <c r="G6" s="16" t="s">
        <v>148</v>
      </c>
      <c r="H6" s="22">
        <f ca="1">IFERROR(__xludf.dummyfunction("iferror(1000+INT(($N$4-(index(split(G15,"":""),1)*60+index(split(G15,"":""),2 )))/0.2+1)*$N$5,"""")"),927)</f>
        <v>927</v>
      </c>
      <c r="I6" s="16">
        <f ca="1">IFERROR(_xlfn.RANK.EQ(H6,H:H),"")</f>
        <v>9</v>
      </c>
      <c r="J6" s="22">
        <f t="shared" ca="1" si="0"/>
        <v>2059</v>
      </c>
      <c r="K6" s="16">
        <f ca="1">IFERROR(_xlfn.RANK.EQ(J6,J:J),"")</f>
        <v>5</v>
      </c>
      <c r="L6" s="16"/>
    </row>
    <row r="7" spans="1:14" ht="14.5" x14ac:dyDescent="0.35">
      <c r="A7" s="16">
        <f ca="1">IFERROR(__xludf.dummyfunction("""COMPUTED_VALUE"""),136)</f>
        <v>136</v>
      </c>
      <c r="B7" s="5" t="str">
        <f ca="1">IFERROR(__xludf.dummyfunction("""COMPUTED_VALUE"""),"Dylan LEADSOM")</f>
        <v>Dylan LEADSOM</v>
      </c>
      <c r="C7" s="5" t="str">
        <f ca="1">IFERROR(__xludf.dummyfunction("""COMPUTED_VALUE"""),"Lancaster Royal Grammar School")</f>
        <v>Lancaster Royal Grammar School</v>
      </c>
      <c r="D7" s="16" t="s">
        <v>139</v>
      </c>
      <c r="E7" s="22">
        <f ca="1">IFERROR(__xludf.dummyfunction("iferror(1000+INT(($N$2-(index(split(D11,"":""),1)*60+index(split(D11,"":""),2 )))/0.2+1)*$N$3,"""")"),912)</f>
        <v>912</v>
      </c>
      <c r="F7" s="16">
        <f ca="1">IFERROR(_xlfn.RANK.EQ(E7,E:E),"")</f>
        <v>8</v>
      </c>
      <c r="G7" s="16" t="s">
        <v>140</v>
      </c>
      <c r="H7" s="22">
        <f ca="1">IFERROR(__xludf.dummyfunction("iferror(1000+INT(($N$4-(index(split(G11,"":""),1)*60+index(split(G11,"":""),2 )))/0.2+1)*$N$5,"""")"),956)</f>
        <v>956</v>
      </c>
      <c r="I7" s="16">
        <f ca="1">IFERROR(_xlfn.RANK.EQ(H7,H:H),"")</f>
        <v>8</v>
      </c>
      <c r="J7" s="22">
        <f t="shared" ca="1" si="0"/>
        <v>1868</v>
      </c>
      <c r="K7" s="16">
        <f ca="1">IFERROR(_xlfn.RANK.EQ(J7,J:J),"")</f>
        <v>6</v>
      </c>
      <c r="L7" s="16"/>
    </row>
    <row r="8" spans="1:14" ht="14.5" x14ac:dyDescent="0.35">
      <c r="A8" s="16">
        <f ca="1">IFERROR(__xludf.dummyfunction("""COMPUTED_VALUE"""),133)</f>
        <v>133</v>
      </c>
      <c r="B8" s="5" t="str">
        <f ca="1">IFERROR(__xludf.dummyfunction("""COMPUTED_VALUE"""),"Harrison Murch")</f>
        <v>Harrison Murch</v>
      </c>
      <c r="C8" s="5" t="str">
        <f ca="1">IFERROR(__xludf.dummyfunction("""COMPUTED_VALUE"""),"Lancaster Royal Grammar School")</f>
        <v>Lancaster Royal Grammar School</v>
      </c>
      <c r="D8" s="23" t="s">
        <v>133</v>
      </c>
      <c r="E8" s="22">
        <f ca="1">IFERROR(__xludf.dummyfunction("iferror(1000+INT(($N$2-(index(split(D8,"":""),1)*60+index(split(D8,"":""),2 )))/0.2+1)*$N$3,"""")"),780)</f>
        <v>780</v>
      </c>
      <c r="F8" s="16">
        <f ca="1">IFERROR(_xlfn.RANK.EQ(E8,E:E),"")</f>
        <v>9</v>
      </c>
      <c r="G8" s="16" t="s">
        <v>134</v>
      </c>
      <c r="H8" s="22">
        <f ca="1">IFERROR(__xludf.dummyfunction("iferror(1000+INT(($N$4-(index(split(G8,"":""),1)*60+index(split(G8,"":""),2 )))/0.2+1)*$N$5,"""")"),1077)</f>
        <v>1077</v>
      </c>
      <c r="I8" s="16">
        <f ca="1">IFERROR(_xlfn.RANK.EQ(H8,H:H),"")</f>
        <v>6</v>
      </c>
      <c r="J8" s="22">
        <f t="shared" ca="1" si="0"/>
        <v>1857</v>
      </c>
      <c r="K8" s="16">
        <f ca="1">IFERROR(_xlfn.RANK.EQ(J8,J:J),"")</f>
        <v>7</v>
      </c>
      <c r="L8" s="16"/>
    </row>
    <row r="9" spans="1:14" ht="14.5" x14ac:dyDescent="0.35">
      <c r="A9" s="16">
        <f ca="1">IFERROR(__xludf.dummyfunction("""COMPUTED_VALUE"""),137)</f>
        <v>137</v>
      </c>
      <c r="B9" s="5" t="str">
        <f ca="1">IFERROR(__xludf.dummyfunction("""COMPUTED_VALUE"""),"Sebastian Beach")</f>
        <v>Sebastian Beach</v>
      </c>
      <c r="C9" s="5" t="str">
        <f ca="1">IFERROR(__xludf.dummyfunction("""COMPUTED_VALUE"""),"All Hallows Catholic High School")</f>
        <v>All Hallows Catholic High School</v>
      </c>
      <c r="D9" s="16" t="s">
        <v>141</v>
      </c>
      <c r="E9" s="22">
        <f ca="1">IFERROR(__xludf.dummyfunction("iferror(1000+INT(($N$2-(index(split(D12,"":""),1)*60+index(split(D12,"":""),2 )))/0.2+1)*$N$3,"""")"),920)</f>
        <v>920</v>
      </c>
      <c r="F9" s="16">
        <f ca="1">IFERROR(_xlfn.RANK.EQ(E9,E:E),"")</f>
        <v>7</v>
      </c>
      <c r="G9" s="16" t="s">
        <v>142</v>
      </c>
      <c r="H9" s="22">
        <f ca="1">IFERROR(__xludf.dummyfunction("iferror(1000+INT(($N$4-(index(split(G12,"":""),1)*60+index(split(G12,"":""),2 )))/0.2+1)*$N$5,"""")"),925)</f>
        <v>925</v>
      </c>
      <c r="I9" s="16">
        <f ca="1">IFERROR(_xlfn.RANK.EQ(H9,H:H),"")</f>
        <v>10</v>
      </c>
      <c r="J9" s="22">
        <f t="shared" ca="1" si="0"/>
        <v>1845</v>
      </c>
      <c r="K9" s="16">
        <f ca="1">IFERROR(_xlfn.RANK.EQ(J9,J:J),"")</f>
        <v>8</v>
      </c>
      <c r="L9" s="16"/>
    </row>
    <row r="10" spans="1:14" ht="14.5" x14ac:dyDescent="0.35">
      <c r="A10" s="16">
        <f ca="1">IFERROR(__xludf.dummyfunction("""COMPUTED_VALUE"""),139)</f>
        <v>139</v>
      </c>
      <c r="B10" s="5" t="str">
        <f ca="1">IFERROR(__xludf.dummyfunction("""COMPUTED_VALUE"""),"Alfie Bridgett")</f>
        <v>Alfie Bridgett</v>
      </c>
      <c r="C10" s="5" t="str">
        <f ca="1">IFERROR(__xludf.dummyfunction("""COMPUTED_VALUE"""),"All Hallows RC High School")</f>
        <v>All Hallows RC High School</v>
      </c>
      <c r="D10" s="16" t="s">
        <v>145</v>
      </c>
      <c r="E10" s="22">
        <f ca="1">IFERROR(__xludf.dummyfunction("iferror(1000+INT(($N$2-(index(split(D14,"":""),1)*60+index(split(D14,"":""),2 )))/0.2+1)*$N$3,"""")"),1036)</f>
        <v>1036</v>
      </c>
      <c r="F10" s="16">
        <f ca="1">IFERROR(_xlfn.RANK.EQ(E10,E:E),"")</f>
        <v>4</v>
      </c>
      <c r="G10" s="16" t="s">
        <v>146</v>
      </c>
      <c r="H10" s="22">
        <f ca="1">IFERROR(__xludf.dummyfunction("iferror(1000+INT(($N$4-(index(split(G14,"":""),1)*60+index(split(G14,"":""),2 )))/0.2+1)*$N$5,"""")"),708)</f>
        <v>708</v>
      </c>
      <c r="I10" s="16">
        <f ca="1">IFERROR(_xlfn.RANK.EQ(H10,H:H),"")</f>
        <v>12</v>
      </c>
      <c r="J10" s="22">
        <f t="shared" ca="1" si="0"/>
        <v>1744</v>
      </c>
      <c r="K10" s="16">
        <f ca="1">IFERROR(_xlfn.RANK.EQ(J10,J:J),"")</f>
        <v>9</v>
      </c>
      <c r="L10" s="16"/>
    </row>
    <row r="11" spans="1:14" ht="14.5" x14ac:dyDescent="0.35">
      <c r="A11" s="16">
        <f ca="1">IFERROR(__xludf.dummyfunction("""COMPUTED_VALUE"""),138)</f>
        <v>138</v>
      </c>
      <c r="B11" s="5" t="str">
        <f ca="1">IFERROR(__xludf.dummyfunction("""COMPUTED_VALUE"""),"Finn Stoker")</f>
        <v>Finn Stoker</v>
      </c>
      <c r="C11" s="5" t="str">
        <f ca="1">IFERROR(__xludf.dummyfunction("""COMPUTED_VALUE"""),"Stonyhurst College")</f>
        <v>Stonyhurst College</v>
      </c>
      <c r="D11" s="16" t="s">
        <v>143</v>
      </c>
      <c r="E11" s="22">
        <f ca="1">IFERROR(__xludf.dummyfunction("iferror(1000+INT(($N$2-(index(split(D13,"":""),1)*60+index(split(D13,"":""),2 )))/0.2+1)*$N$3,"""")"),492)</f>
        <v>492</v>
      </c>
      <c r="F11" s="16">
        <f ca="1">IFERROR(_xlfn.RANK.EQ(E11,E:E),"")</f>
        <v>11</v>
      </c>
      <c r="G11" s="16" t="s">
        <v>144</v>
      </c>
      <c r="H11" s="22">
        <f ca="1">IFERROR(__xludf.dummyfunction("iferror(1000+INT(($N$4-(index(split(G13,"":""),1)*60+index(split(G13,"":""),2 )))/0.2+1)*$N$5,"""")"),1039)</f>
        <v>1039</v>
      </c>
      <c r="I11" s="16">
        <f ca="1">IFERROR(_xlfn.RANK.EQ(H11,H:H),"")</f>
        <v>7</v>
      </c>
      <c r="J11" s="22">
        <f t="shared" ca="1" si="0"/>
        <v>1531</v>
      </c>
      <c r="K11" s="16">
        <f ca="1">IFERROR(_xlfn.RANK.EQ(J11,J:J),"")</f>
        <v>10</v>
      </c>
      <c r="L11" s="16"/>
    </row>
    <row r="12" spans="1:14" ht="14.5" x14ac:dyDescent="0.35">
      <c r="A12" s="16">
        <f ca="1">IFERROR(__xludf.dummyfunction("""COMPUTED_VALUE"""),131)</f>
        <v>131</v>
      </c>
      <c r="B12" s="12" t="str">
        <f ca="1">IFERROR(__xludf.dummyfunction("""COMPUTED_VALUE"""),"Henry Engelhart")</f>
        <v>Henry Engelhart</v>
      </c>
      <c r="C12" s="3" t="str">
        <f ca="1">IFERROR(__xludf.dummyfunction("""COMPUTED_VALUE"""),"Durham Johnston Comprehensive")</f>
        <v>Durham Johnston Comprehensive</v>
      </c>
      <c r="D12" s="16" t="s">
        <v>129</v>
      </c>
      <c r="E12" s="22">
        <f ca="1">IFERROR(__xludf.dummyfunction("iferror(1000+INT(($N$2-(index(split(D6,"":""),1)*60+index(split(D6,"":""),2 )))/0.2+1)*$N$3,"""")"),268)</f>
        <v>268</v>
      </c>
      <c r="F12" s="16">
        <f ca="1">IFERROR(_xlfn.RANK.EQ(E12,E:E),"")</f>
        <v>13</v>
      </c>
      <c r="G12" s="16" t="s">
        <v>130</v>
      </c>
      <c r="H12" s="22">
        <f ca="1">IFERROR(__xludf.dummyfunction("iferror(1000+INT(($N$4-(index(split(G6,"":""),1)*60+index(split(G6,"":""),2 )))/0.2+1)*$N$5,"""")"),1228)</f>
        <v>1228</v>
      </c>
      <c r="I12" s="16">
        <f ca="1">IFERROR(_xlfn.RANK.EQ(H12,H:H),"")</f>
        <v>1</v>
      </c>
      <c r="J12" s="22">
        <f t="shared" ca="1" si="0"/>
        <v>1496</v>
      </c>
      <c r="K12" s="16">
        <f ca="1">IFERROR(_xlfn.RANK.EQ(J12,J:J),"")</f>
        <v>11</v>
      </c>
      <c r="L12" s="16"/>
    </row>
    <row r="13" spans="1:14" ht="14.5" x14ac:dyDescent="0.35">
      <c r="A13" s="16">
        <f ca="1">IFERROR(__xludf.dummyfunction("""COMPUTED_VALUE"""),134)</f>
        <v>134</v>
      </c>
      <c r="B13" s="5" t="str">
        <f ca="1">IFERROR(__xludf.dummyfunction("""COMPUTED_VALUE"""),"Thomas Edward James")</f>
        <v>Thomas Edward James</v>
      </c>
      <c r="C13" s="5" t="str">
        <f ca="1">IFERROR(__xludf.dummyfunction("""COMPUTED_VALUE"""),"Beech Hall School")</f>
        <v>Beech Hall School</v>
      </c>
      <c r="D13" s="16" t="s">
        <v>135</v>
      </c>
      <c r="E13" s="22">
        <f ca="1">IFERROR(__xludf.dummyfunction("iferror(1000+INT(($N$2-(index(split(D9,"":""),1)*60+index(split(D9,"":""),2 )))/0.2+1)*$N$3,"""")"),760)</f>
        <v>760</v>
      </c>
      <c r="F13" s="16">
        <f ca="1">IFERROR(_xlfn.RANK.EQ(E13,E:E),"")</f>
        <v>10</v>
      </c>
      <c r="G13" s="16" t="s">
        <v>136</v>
      </c>
      <c r="H13" s="22">
        <f ca="1">IFERROR(__xludf.dummyfunction("iferror(1000+INT(($N$4-(index(split(G9,"":""),1)*60+index(split(G9,"":""),2 )))/0.2+1)*$N$5,"""")"),658)</f>
        <v>658</v>
      </c>
      <c r="I13" s="16">
        <f ca="1">IFERROR(_xlfn.RANK.EQ(H13,H:H),"")</f>
        <v>13</v>
      </c>
      <c r="J13" s="22">
        <f t="shared" ca="1" si="0"/>
        <v>1418</v>
      </c>
      <c r="K13" s="16">
        <f ca="1">IFERROR(_xlfn.RANK.EQ(J13,J:J),"")</f>
        <v>12</v>
      </c>
      <c r="L13" s="16"/>
    </row>
    <row r="14" spans="1:14" ht="14.5" x14ac:dyDescent="0.35">
      <c r="A14" s="16">
        <f ca="1">IFERROR(__xludf.dummyfunction("""COMPUTED_VALUE"""),132)</f>
        <v>132</v>
      </c>
      <c r="B14" s="3" t="str">
        <f ca="1">IFERROR(__xludf.dummyfunction("""COMPUTED_VALUE"""),"James Tingle")</f>
        <v>James Tingle</v>
      </c>
      <c r="C14" s="3" t="str">
        <f ca="1">IFERROR(__xludf.dummyfunction("""COMPUTED_VALUE"""),"Durham Johnston Comprehensive")</f>
        <v>Durham Johnston Comprehensive</v>
      </c>
      <c r="D14" s="16" t="s">
        <v>131</v>
      </c>
      <c r="E14" s="22">
        <f ca="1">IFERROR(__xludf.dummyfunction("iferror(1000+INT(($N$2-(index(split(D7,"":""),1)*60+index(split(D7,"":""),2 )))/0.2+1)*$N$3,"""")"),484)</f>
        <v>484</v>
      </c>
      <c r="F14" s="16">
        <f ca="1">IFERROR(_xlfn.RANK.EQ(E14,E:E),"")</f>
        <v>12</v>
      </c>
      <c r="G14" s="16" t="s">
        <v>132</v>
      </c>
      <c r="H14" s="22">
        <f ca="1">IFERROR(__xludf.dummyfunction("iferror(1000+INT(($N$4-(index(split(G7,"":""),1)*60+index(split(G7,"":""),2 )))/0.2+1)*$N$5,"""")"),740)</f>
        <v>740</v>
      </c>
      <c r="I14" s="16">
        <f ca="1">IFERROR(_xlfn.RANK.EQ(H14,H:H),"")</f>
        <v>11</v>
      </c>
      <c r="J14" s="22">
        <f t="shared" ca="1" si="0"/>
        <v>1224</v>
      </c>
      <c r="K14" s="16">
        <f ca="1">IFERROR(_xlfn.RANK.EQ(J14,J:J),"")</f>
        <v>13</v>
      </c>
      <c r="L14" s="16"/>
    </row>
    <row r="15" spans="1:14" ht="14.5" x14ac:dyDescent="0.35">
      <c r="A15" s="28">
        <f ca="1">IFERROR(__xludf.dummyfunction("Query(Entries!$A$2:$U$1205,""select A,C,D where B = '""&amp;L1&amp;""'"")"),127)</f>
        <v>127</v>
      </c>
      <c r="B15" s="33" t="str">
        <f ca="1">IFERROR(__xludf.dummyfunction("""COMPUTED_VALUE"""),"Jack Heslop")</f>
        <v>Jack Heslop</v>
      </c>
      <c r="C15" s="33" t="str">
        <f ca="1">IFERROR(__xludf.dummyfunction("""COMPUTED_VALUE"""),"Framwellgate School")</f>
        <v>Framwellgate School</v>
      </c>
      <c r="D15" s="28"/>
      <c r="E15" s="30" t="str">
        <f ca="1">IFERROR(__xludf.dummyfunction("iferror(1000+INT(($N$2-(index(split(D2,"":""),1)*60+index(split(D2,"":""),2 )))/0.2+1)*$N$3,"""")"),"")</f>
        <v/>
      </c>
      <c r="F15" s="28" t="str">
        <f ca="1">IFERROR(_xlfn.RANK.EQ(E15,E:E),"")</f>
        <v/>
      </c>
      <c r="G15" s="30"/>
      <c r="H15" s="30" t="str">
        <f ca="1">IFERROR(__xludf.dummyfunction("iferror(1000+INT(($N$4-(index(split(G2,"":""),1)*60+index(split(G2,"":""),2 )))/0.2+1)*$N$5,"""")"),"")</f>
        <v/>
      </c>
      <c r="I15" s="28" t="str">
        <f ca="1">IFERROR(_xlfn.RANK.EQ(H15,H:H),"")</f>
        <v/>
      </c>
      <c r="J15" s="30" t="str">
        <f t="shared" si="0"/>
        <v/>
      </c>
      <c r="K15" s="28" t="s">
        <v>444</v>
      </c>
      <c r="L15" s="16"/>
    </row>
    <row r="16" spans="1:14" ht="14.5" x14ac:dyDescent="0.35">
      <c r="A16" s="16"/>
      <c r="B16" s="16"/>
      <c r="C16" s="16"/>
      <c r="D16" s="16"/>
      <c r="E16" s="22" t="str">
        <f ca="1">IFERROR(__xludf.dummyfunction("iferror(1000+INT(($N$2-(index(split(D16,"":""),1)*60+index(split(D16,"":""),2 )))/0.2+1)*$N$3,"""")"),"")</f>
        <v/>
      </c>
      <c r="F16" s="16" t="str">
        <f t="shared" ref="F2:F33" ca="1" si="1">IFERROR(_xlfn.RANK.EQ(E16,E:E),"")</f>
        <v/>
      </c>
      <c r="G16" s="16"/>
      <c r="H16" s="22" t="str">
        <f ca="1">IFERROR(__xludf.dummyfunction("iferror(1000+INT(($N$4-(index(split(G16,"":""),1)*60+index(split(G16,"":""),2 )))/0.2+1)*$N$5,"""")"),"")</f>
        <v/>
      </c>
      <c r="I16" s="16" t="str">
        <f t="shared" ref="I2:I33" ca="1" si="2">IFERROR(_xlfn.RANK.EQ(H16,H:H),"")</f>
        <v/>
      </c>
      <c r="J16" s="22" t="str">
        <f t="shared" si="0"/>
        <v/>
      </c>
      <c r="K16" s="16" t="str">
        <f t="shared" ref="K2:K33" si="3">IFERROR(_xlfn.RANK.EQ(J16,J:J),"")</f>
        <v/>
      </c>
      <c r="L16" s="16"/>
    </row>
    <row r="17" spans="1:12" ht="14.5" x14ac:dyDescent="0.35">
      <c r="A17" s="16"/>
      <c r="B17" s="16"/>
      <c r="C17" s="16"/>
      <c r="D17" s="16"/>
      <c r="E17" s="22" t="str">
        <f ca="1">IFERROR(__xludf.dummyfunction("iferror(1000+INT(($N$2-(index(split(D17,"":""),1)*60+index(split(D17,"":""),2 )))/0.2+1)*$N$3,"""")"),"")</f>
        <v/>
      </c>
      <c r="F17" s="16" t="str">
        <f t="shared" ca="1" si="1"/>
        <v/>
      </c>
      <c r="G17" s="16"/>
      <c r="H17" s="22" t="str">
        <f ca="1">IFERROR(__xludf.dummyfunction("iferror(1000+INT(($N$4-(index(split(G17,"":""),1)*60+index(split(G17,"":""),2 )))/0.2+1)*$N$5,"""")"),"")</f>
        <v/>
      </c>
      <c r="I17" s="16" t="str">
        <f t="shared" ca="1" si="2"/>
        <v/>
      </c>
      <c r="J17" s="22" t="str">
        <f t="shared" si="0"/>
        <v/>
      </c>
      <c r="K17" s="16" t="str">
        <f t="shared" si="3"/>
        <v/>
      </c>
      <c r="L17" s="16"/>
    </row>
    <row r="18" spans="1:12" ht="14.5" x14ac:dyDescent="0.35">
      <c r="A18" s="16"/>
      <c r="B18" s="16"/>
      <c r="C18" s="16"/>
      <c r="D18" s="16"/>
      <c r="E18" s="22" t="str">
        <f ca="1">IFERROR(__xludf.dummyfunction("iferror(1000+INT(($N$2-(index(split(D18,"":""),1)*60+index(split(D18,"":""),2 )))/0.2+1)*$N$3,"""")"),"")</f>
        <v/>
      </c>
      <c r="F18" s="16" t="str">
        <f t="shared" ca="1" si="1"/>
        <v/>
      </c>
      <c r="G18" s="16"/>
      <c r="H18" s="22" t="str">
        <f ca="1">IFERROR(__xludf.dummyfunction("iferror(1000+INT(($N$4-(index(split(G18,"":""),1)*60+index(split(G18,"":""),2 )))/0.2+1)*$N$5,"""")"),"")</f>
        <v/>
      </c>
      <c r="I18" s="16" t="str">
        <f t="shared" ca="1" si="2"/>
        <v/>
      </c>
      <c r="J18" s="22" t="str">
        <f t="shared" si="0"/>
        <v/>
      </c>
      <c r="K18" s="16" t="str">
        <f t="shared" si="3"/>
        <v/>
      </c>
      <c r="L18" s="16"/>
    </row>
    <row r="19" spans="1:12" ht="14.5" x14ac:dyDescent="0.35">
      <c r="A19" s="16"/>
      <c r="B19" s="16"/>
      <c r="C19" s="16"/>
      <c r="D19" s="16"/>
      <c r="E19" s="22" t="str">
        <f ca="1">IFERROR(__xludf.dummyfunction("iferror(1000+INT(($N$2-(index(split(D19,"":""),1)*60+index(split(D19,"":""),2 )))/0.2+1)*$N$3,"""")"),"")</f>
        <v/>
      </c>
      <c r="F19" s="16" t="str">
        <f t="shared" ca="1" si="1"/>
        <v/>
      </c>
      <c r="G19" s="16"/>
      <c r="H19" s="22" t="str">
        <f ca="1">IFERROR(__xludf.dummyfunction("iferror(1000+INT(($N$4-(index(split(G19,"":""),1)*60+index(split(G19,"":""),2 )))/0.2+1)*$N$5,"""")"),"")</f>
        <v/>
      </c>
      <c r="I19" s="16" t="str">
        <f t="shared" ca="1" si="2"/>
        <v/>
      </c>
      <c r="J19" s="22" t="str">
        <f t="shared" si="0"/>
        <v/>
      </c>
      <c r="K19" s="16" t="str">
        <f t="shared" si="3"/>
        <v/>
      </c>
      <c r="L19" s="16"/>
    </row>
    <row r="20" spans="1:12" ht="14.5" x14ac:dyDescent="0.35">
      <c r="A20" s="16"/>
      <c r="B20" s="16"/>
      <c r="C20" s="16"/>
      <c r="D20" s="16"/>
      <c r="E20" s="22" t="str">
        <f ca="1">IFERROR(__xludf.dummyfunction("iferror(1000+INT(($N$2-(index(split(D20,"":""),1)*60+index(split(D20,"":""),2 )))/0.2+1)*$N$3,"""")"),"")</f>
        <v/>
      </c>
      <c r="F20" s="16" t="str">
        <f t="shared" ca="1" si="1"/>
        <v/>
      </c>
      <c r="G20" s="16"/>
      <c r="H20" s="22" t="str">
        <f ca="1">IFERROR(__xludf.dummyfunction("iferror(1000+INT(($N$4-(index(split(G20,"":""),1)*60+index(split(G20,"":""),2 )))/0.2+1)*$N$5,"""")"),"")</f>
        <v/>
      </c>
      <c r="I20" s="16" t="str">
        <f t="shared" ca="1" si="2"/>
        <v/>
      </c>
      <c r="J20" s="22" t="str">
        <f t="shared" si="0"/>
        <v/>
      </c>
      <c r="K20" s="16" t="str">
        <f t="shared" si="3"/>
        <v/>
      </c>
      <c r="L20" s="16"/>
    </row>
    <row r="21" spans="1:12" ht="14.5" x14ac:dyDescent="0.35">
      <c r="A21" s="16"/>
      <c r="B21" s="16"/>
      <c r="C21" s="16"/>
      <c r="D21" s="16"/>
      <c r="E21" s="22" t="str">
        <f ca="1">IFERROR(__xludf.dummyfunction("iferror(1000+INT(($N$2-(index(split(D21,"":""),1)*60+index(split(D21,"":""),2 )))/0.2+1)*$N$3,"""")"),"")</f>
        <v/>
      </c>
      <c r="F21" s="16" t="str">
        <f t="shared" ca="1" si="1"/>
        <v/>
      </c>
      <c r="G21" s="16"/>
      <c r="H21" s="22" t="str">
        <f ca="1">IFERROR(__xludf.dummyfunction("iferror(1000+INT(($N$4-(index(split(G21,"":""),1)*60+index(split(G21,"":""),2 )))/0.2+1)*$N$5,"""")"),"")</f>
        <v/>
      </c>
      <c r="I21" s="16" t="str">
        <f t="shared" ca="1" si="2"/>
        <v/>
      </c>
      <c r="J21" s="22" t="str">
        <f t="shared" si="0"/>
        <v/>
      </c>
      <c r="K21" s="16" t="str">
        <f t="shared" si="3"/>
        <v/>
      </c>
      <c r="L21" s="16"/>
    </row>
    <row r="22" spans="1:12" ht="14.5" x14ac:dyDescent="0.35">
      <c r="A22" s="16"/>
      <c r="B22" s="16"/>
      <c r="C22" s="16"/>
      <c r="D22" s="16"/>
      <c r="E22" s="22" t="str">
        <f ca="1">IFERROR(__xludf.dummyfunction("iferror(1000+INT(($N$2-(index(split(D22,"":""),1)*60+index(split(D22,"":""),2 )))/0.2+1)*$N$3,"""")"),"")</f>
        <v/>
      </c>
      <c r="F22" s="16" t="str">
        <f t="shared" ca="1" si="1"/>
        <v/>
      </c>
      <c r="G22" s="16"/>
      <c r="H22" s="22" t="str">
        <f ca="1">IFERROR(__xludf.dummyfunction("iferror(1000+INT(($N$4-(index(split(G22,"":""),1)*60+index(split(G22,"":""),2 )))/0.2+1)*$N$5,"""")"),"")</f>
        <v/>
      </c>
      <c r="I22" s="16" t="str">
        <f t="shared" ca="1" si="2"/>
        <v/>
      </c>
      <c r="J22" s="16" t="str">
        <f t="shared" ref="J2:J33" si="4">IF(AND(D22="", G22=""), "", E22+H22)</f>
        <v/>
      </c>
      <c r="K22" s="16" t="str">
        <f t="shared" si="3"/>
        <v/>
      </c>
      <c r="L22" s="16"/>
    </row>
    <row r="23" spans="1:12" ht="14.5" x14ac:dyDescent="0.35">
      <c r="A23" s="16"/>
      <c r="B23" s="16"/>
      <c r="C23" s="16"/>
      <c r="D23" s="16"/>
      <c r="E23" s="22" t="str">
        <f ca="1">IFERROR(__xludf.dummyfunction("iferror(1000+INT(($N$2-(index(split(D23,"":""),1)*60+index(split(D23,"":""),2 )))/0.2+1)*$N$3,"""")"),"")</f>
        <v/>
      </c>
      <c r="F23" s="16" t="str">
        <f t="shared" ca="1" si="1"/>
        <v/>
      </c>
      <c r="G23" s="16"/>
      <c r="H23" s="22" t="str">
        <f ca="1">IFERROR(__xludf.dummyfunction("iferror(1000+INT(($N$4-(index(split(G23,"":""),1)*60+index(split(G23,"":""),2 )))/0.2+1)*$N$5,"""")"),"")</f>
        <v/>
      </c>
      <c r="I23" s="16" t="str">
        <f t="shared" ca="1" si="2"/>
        <v/>
      </c>
      <c r="J23" s="16" t="str">
        <f t="shared" si="4"/>
        <v/>
      </c>
      <c r="K23" s="16" t="str">
        <f t="shared" si="3"/>
        <v/>
      </c>
      <c r="L23" s="16"/>
    </row>
    <row r="24" spans="1:12" ht="14.5" x14ac:dyDescent="0.35">
      <c r="A24" s="16"/>
      <c r="B24" s="16"/>
      <c r="C24" s="16"/>
      <c r="D24" s="16"/>
      <c r="E24" s="22" t="str">
        <f ca="1">IFERROR(__xludf.dummyfunction("iferror(1000+INT(($N$2-(index(split(D24,"":""),1)*60+index(split(D24,"":""),2 )))/0.2+1)*$N$3,"""")"),"")</f>
        <v/>
      </c>
      <c r="F24" s="16" t="str">
        <f t="shared" ca="1" si="1"/>
        <v/>
      </c>
      <c r="G24" s="16"/>
      <c r="H24" s="22" t="str">
        <f ca="1">IFERROR(__xludf.dummyfunction("iferror(1000+INT(($N$4-(index(split(G24,"":""),1)*60+index(split(G24,"":""),2 )))/0.2+1)*$N$5,"""")"),"")</f>
        <v/>
      </c>
      <c r="I24" s="16" t="str">
        <f t="shared" ca="1" si="2"/>
        <v/>
      </c>
      <c r="J24" s="16" t="str">
        <f t="shared" si="4"/>
        <v/>
      </c>
      <c r="K24" s="16" t="str">
        <f t="shared" si="3"/>
        <v/>
      </c>
      <c r="L24" s="16"/>
    </row>
    <row r="25" spans="1:12" ht="14.5" x14ac:dyDescent="0.35">
      <c r="A25" s="16"/>
      <c r="B25" s="16"/>
      <c r="C25" s="16"/>
      <c r="D25" s="16"/>
      <c r="E25" s="22" t="str">
        <f ca="1">IFERROR(__xludf.dummyfunction("iferror(1000+INT(($N$2-(index(split(D25,"":""),1)*60+index(split(D25,"":""),2 )))/0.2+1)*$N$3,"""")"),"")</f>
        <v/>
      </c>
      <c r="F25" s="16" t="str">
        <f t="shared" ca="1" si="1"/>
        <v/>
      </c>
      <c r="G25" s="16"/>
      <c r="H25" s="22" t="str">
        <f ca="1">IFERROR(__xludf.dummyfunction("iferror(1000+INT(($N$4-(index(split(G25,"":""),1)*60+index(split(G25,"":""),2 )))/0.2+1)*$N$5,"""")"),"")</f>
        <v/>
      </c>
      <c r="I25" s="16" t="str">
        <f t="shared" ca="1" si="2"/>
        <v/>
      </c>
      <c r="J25" s="16" t="str">
        <f t="shared" si="4"/>
        <v/>
      </c>
      <c r="K25" s="16" t="str">
        <f t="shared" si="3"/>
        <v/>
      </c>
      <c r="L25" s="16"/>
    </row>
    <row r="26" spans="1:12" ht="14.5" x14ac:dyDescent="0.35">
      <c r="A26" s="16"/>
      <c r="B26" s="16"/>
      <c r="C26" s="16"/>
      <c r="D26" s="16"/>
      <c r="E26" s="22" t="str">
        <f ca="1">IFERROR(__xludf.dummyfunction("iferror(1000+INT(($N$2-(index(split(D26,"":""),1)*60+index(split(D26,"":""),2 )))/0.2+1)*$N$3,"""")"),"")</f>
        <v/>
      </c>
      <c r="F26" s="16" t="str">
        <f t="shared" ca="1" si="1"/>
        <v/>
      </c>
      <c r="G26" s="16"/>
      <c r="H26" s="22" t="str">
        <f ca="1">IFERROR(__xludf.dummyfunction("iferror(1000+INT(($N$4-(index(split(G26,"":""),1)*60+index(split(G26,"":""),2 )))/0.2+1)*$N$5,"""")"),"")</f>
        <v/>
      </c>
      <c r="I26" s="16" t="str">
        <f t="shared" ca="1" si="2"/>
        <v/>
      </c>
      <c r="J26" s="16" t="str">
        <f t="shared" si="4"/>
        <v/>
      </c>
      <c r="K26" s="16" t="str">
        <f t="shared" si="3"/>
        <v/>
      </c>
      <c r="L26" s="16"/>
    </row>
    <row r="27" spans="1:12" ht="14.5" x14ac:dyDescent="0.35">
      <c r="A27" s="16"/>
      <c r="B27" s="16"/>
      <c r="C27" s="16"/>
      <c r="D27" s="16"/>
      <c r="E27" s="22" t="str">
        <f ca="1">IFERROR(__xludf.dummyfunction("iferror(1000+INT(($N$2-(index(split(D27,"":""),1)*60+index(split(D27,"":""),2 )))/0.2+1)*$N$3,"""")"),"")</f>
        <v/>
      </c>
      <c r="F27" s="16" t="str">
        <f t="shared" ca="1" si="1"/>
        <v/>
      </c>
      <c r="G27" s="16"/>
      <c r="H27" s="22" t="str">
        <f ca="1">IFERROR(__xludf.dummyfunction("iferror(1000+INT(($N$4-(index(split(G27,"":""),1)*60+index(split(G27,"":""),2 )))/0.2+1)*$N$5,"""")"),"")</f>
        <v/>
      </c>
      <c r="I27" s="16" t="str">
        <f t="shared" ca="1" si="2"/>
        <v/>
      </c>
      <c r="J27" s="16" t="str">
        <f t="shared" si="4"/>
        <v/>
      </c>
      <c r="K27" s="16" t="str">
        <f t="shared" si="3"/>
        <v/>
      </c>
      <c r="L27" s="16"/>
    </row>
    <row r="28" spans="1:12" ht="14.5" x14ac:dyDescent="0.35">
      <c r="A28" s="16"/>
      <c r="B28" s="16"/>
      <c r="C28" s="16"/>
      <c r="D28" s="16"/>
      <c r="E28" s="22" t="str">
        <f ca="1">IFERROR(__xludf.dummyfunction("iferror(1000+INT(($N$2-(index(split(D28,"":""),1)*60+index(split(D28,"":""),2 )))/0.2+1)*$N$3,"""")"),"")</f>
        <v/>
      </c>
      <c r="F28" s="16" t="str">
        <f t="shared" ca="1" si="1"/>
        <v/>
      </c>
      <c r="G28" s="16"/>
      <c r="H28" s="22" t="str">
        <f ca="1">IFERROR(__xludf.dummyfunction("iferror(1000+INT(($N$4-(index(split(G28,"":""),1)*60+index(split(G28,"":""),2 )))/0.2+1)*$N$5,"""")"),"")</f>
        <v/>
      </c>
      <c r="I28" s="16" t="str">
        <f t="shared" ca="1" si="2"/>
        <v/>
      </c>
      <c r="J28" s="16" t="str">
        <f t="shared" si="4"/>
        <v/>
      </c>
      <c r="K28" s="16" t="str">
        <f t="shared" si="3"/>
        <v/>
      </c>
      <c r="L28" s="16"/>
    </row>
    <row r="29" spans="1:12" ht="14.5" x14ac:dyDescent="0.35">
      <c r="A29" s="16"/>
      <c r="B29" s="16"/>
      <c r="C29" s="16"/>
      <c r="D29" s="16"/>
      <c r="E29" s="22" t="str">
        <f ca="1">IFERROR(__xludf.dummyfunction("iferror(1000+INT(($N$2-(index(split(D29,"":""),1)*60+index(split(D29,"":""),2 )))/0.2+1)*$N$3,"""")"),"")</f>
        <v/>
      </c>
      <c r="F29" s="16" t="str">
        <f t="shared" ca="1" si="1"/>
        <v/>
      </c>
      <c r="G29" s="16"/>
      <c r="H29" s="22" t="str">
        <f ca="1">IFERROR(__xludf.dummyfunction("iferror(1000+INT(($N$4-(index(split(G29,"":""),1)*60+index(split(G29,"":""),2 )))/0.2+1)*$N$5,"""")"),"")</f>
        <v/>
      </c>
      <c r="I29" s="16" t="str">
        <f t="shared" ca="1" si="2"/>
        <v/>
      </c>
      <c r="J29" s="16" t="str">
        <f t="shared" si="4"/>
        <v/>
      </c>
      <c r="K29" s="16" t="str">
        <f t="shared" si="3"/>
        <v/>
      </c>
      <c r="L29" s="16"/>
    </row>
    <row r="30" spans="1:12" ht="14.5" x14ac:dyDescent="0.35">
      <c r="A30" s="16"/>
      <c r="B30" s="16"/>
      <c r="C30" s="16"/>
      <c r="D30" s="16"/>
      <c r="E30" s="22" t="str">
        <f ca="1">IFERROR(__xludf.dummyfunction("iferror(1000+INT(($N$2-(index(split(D30,"":""),1)*60+index(split(D30,"":""),2 )))/0.2+1)*$N$3,"""")"),"")</f>
        <v/>
      </c>
      <c r="F30" s="16" t="str">
        <f t="shared" ca="1" si="1"/>
        <v/>
      </c>
      <c r="G30" s="16"/>
      <c r="H30" s="22" t="str">
        <f ca="1">IFERROR(__xludf.dummyfunction("iferror(1000+INT(($N$4-(index(split(G30,"":""),1)*60+index(split(G30,"":""),2 )))/0.2+1)*$N$5,"""")"),"")</f>
        <v/>
      </c>
      <c r="I30" s="16" t="str">
        <f t="shared" ca="1" si="2"/>
        <v/>
      </c>
      <c r="J30" s="16" t="str">
        <f t="shared" si="4"/>
        <v/>
      </c>
      <c r="K30" s="16" t="str">
        <f t="shared" si="3"/>
        <v/>
      </c>
      <c r="L30" s="16"/>
    </row>
    <row r="31" spans="1:12" ht="14.5" x14ac:dyDescent="0.35">
      <c r="A31" s="16"/>
      <c r="B31" s="16"/>
      <c r="C31" s="16"/>
      <c r="D31" s="16"/>
      <c r="E31" s="22" t="str">
        <f ca="1">IFERROR(__xludf.dummyfunction("iferror(1000+INT(($N$2-(index(split(D31,"":""),1)*60+index(split(D31,"":""),2 )))/0.2+1)*$N$3,"""")"),"")</f>
        <v/>
      </c>
      <c r="F31" s="16" t="str">
        <f t="shared" ca="1" si="1"/>
        <v/>
      </c>
      <c r="G31" s="16"/>
      <c r="H31" s="22" t="str">
        <f ca="1">IFERROR(__xludf.dummyfunction("iferror(1000+INT(($N$4-(index(split(G31,"":""),1)*60+index(split(G31,"":""),2 )))/0.2+1)*$N$5,"""")"),"")</f>
        <v/>
      </c>
      <c r="I31" s="16" t="str">
        <f t="shared" ca="1" si="2"/>
        <v/>
      </c>
      <c r="J31" s="16" t="str">
        <f t="shared" si="4"/>
        <v/>
      </c>
      <c r="K31" s="16" t="str">
        <f t="shared" si="3"/>
        <v/>
      </c>
      <c r="L31" s="16"/>
    </row>
    <row r="32" spans="1:12" ht="14.5" x14ac:dyDescent="0.35">
      <c r="A32" s="16"/>
      <c r="B32" s="16"/>
      <c r="C32" s="16"/>
      <c r="D32" s="16"/>
      <c r="E32" s="22" t="str">
        <f ca="1">IFERROR(__xludf.dummyfunction("iferror(1000+INT(($N$2-(index(split(D32,"":""),1)*60+index(split(D32,"":""),2 )))/0.2+1)*$N$3,"""")"),"")</f>
        <v/>
      </c>
      <c r="F32" s="16" t="str">
        <f t="shared" ca="1" si="1"/>
        <v/>
      </c>
      <c r="G32" s="16"/>
      <c r="H32" s="22" t="str">
        <f ca="1">IFERROR(__xludf.dummyfunction("iferror(1000+INT(($N$4-(index(split(G32,"":""),1)*60+index(split(G32,"":""),2 )))/0.2+1)*$N$5,"""")"),"")</f>
        <v/>
      </c>
      <c r="I32" s="16" t="str">
        <f t="shared" ca="1" si="2"/>
        <v/>
      </c>
      <c r="J32" s="16" t="str">
        <f t="shared" si="4"/>
        <v/>
      </c>
      <c r="K32" s="16" t="str">
        <f t="shared" si="3"/>
        <v/>
      </c>
      <c r="L32" s="16"/>
    </row>
    <row r="33" spans="1:12" ht="14.5" x14ac:dyDescent="0.35">
      <c r="A33" s="16"/>
      <c r="B33" s="16"/>
      <c r="C33" s="16"/>
      <c r="D33" s="16"/>
      <c r="E33" s="22" t="str">
        <f ca="1">IFERROR(__xludf.dummyfunction("iferror(1000+INT(($N$2-(index(split(D33,"":""),1)*60+index(split(D33,"":""),2 )))/0.2+1)*$N$3,"""")"),"")</f>
        <v/>
      </c>
      <c r="F33" s="16" t="str">
        <f t="shared" ca="1" si="1"/>
        <v/>
      </c>
      <c r="G33" s="16"/>
      <c r="H33" s="22" t="str">
        <f ca="1">IFERROR(__xludf.dummyfunction("iferror(1000+INT(($N$4-(index(split(G33,"":""),1)*60+index(split(G33,"":""),2 )))/0.2+1)*$N$5,"""")"),"")</f>
        <v/>
      </c>
      <c r="I33" s="16" t="str">
        <f t="shared" ca="1" si="2"/>
        <v/>
      </c>
      <c r="J33" s="16" t="str">
        <f t="shared" si="4"/>
        <v/>
      </c>
      <c r="K33" s="16" t="str">
        <f t="shared" si="3"/>
        <v/>
      </c>
      <c r="L33" s="16"/>
    </row>
    <row r="34" spans="1:12" ht="14.5" x14ac:dyDescent="0.35">
      <c r="A34" s="16"/>
      <c r="B34" s="16"/>
      <c r="C34" s="16"/>
      <c r="D34" s="16"/>
      <c r="E34" s="22" t="str">
        <f ca="1">IFERROR(__xludf.dummyfunction("iferror(1000+INT(($N$2-(index(split(D34,"":""),1)*60+index(split(D34,"":""),2 )))/0.2+1)*$N$3,"""")"),"")</f>
        <v/>
      </c>
      <c r="F34" s="16" t="str">
        <f t="shared" ref="F34:F65" ca="1" si="5">IFERROR(_xlfn.RANK.EQ(E34,E:E),"")</f>
        <v/>
      </c>
      <c r="G34" s="16"/>
      <c r="H34" s="22" t="str">
        <f ca="1">IFERROR(__xludf.dummyfunction("iferror(1000+INT(($N$4-(index(split(G34,"":""),1)*60+index(split(G34,"":""),2 )))/0.2+1)*$N$5,"""")"),"")</f>
        <v/>
      </c>
      <c r="I34" s="16" t="str">
        <f t="shared" ref="I34:I65" ca="1" si="6">IFERROR(_xlfn.RANK.EQ(H34,H:H),"")</f>
        <v/>
      </c>
      <c r="J34" s="16" t="str">
        <f t="shared" ref="J34:J65" si="7">IF(AND(D34="", G34=""), "", E34+H34)</f>
        <v/>
      </c>
      <c r="K34" s="16" t="str">
        <f t="shared" ref="K34:K65" si="8">IFERROR(_xlfn.RANK.EQ(J34,J:J),"")</f>
        <v/>
      </c>
      <c r="L34" s="16"/>
    </row>
    <row r="35" spans="1:12" ht="14.5" x14ac:dyDescent="0.35">
      <c r="A35" s="16"/>
      <c r="B35" s="16"/>
      <c r="C35" s="16"/>
      <c r="D35" s="16"/>
      <c r="E35" s="22" t="str">
        <f ca="1">IFERROR(__xludf.dummyfunction("iferror(1000+INT(($N$2-(index(split(D35,"":""),1)*60+index(split(D35,"":""),2 )))/0.2+1)*$N$3,"""")"),"")</f>
        <v/>
      </c>
      <c r="F35" s="16" t="str">
        <f t="shared" ca="1" si="5"/>
        <v/>
      </c>
      <c r="G35" s="16"/>
      <c r="H35" s="22" t="str">
        <f ca="1">IFERROR(__xludf.dummyfunction("iferror(1000+INT(($N$4-(index(split(G35,"":""),1)*60+index(split(G35,"":""),2 )))/0.2+1)*$N$5,"""")"),"")</f>
        <v/>
      </c>
      <c r="I35" s="16" t="str">
        <f t="shared" ca="1" si="6"/>
        <v/>
      </c>
      <c r="J35" s="16" t="str">
        <f t="shared" si="7"/>
        <v/>
      </c>
      <c r="K35" s="16" t="str">
        <f t="shared" si="8"/>
        <v/>
      </c>
      <c r="L35" s="16"/>
    </row>
    <row r="36" spans="1:12" ht="14.5" x14ac:dyDescent="0.35">
      <c r="A36" s="16"/>
      <c r="B36" s="16"/>
      <c r="C36" s="16"/>
      <c r="D36" s="16"/>
      <c r="E36" s="22" t="str">
        <f ca="1">IFERROR(__xludf.dummyfunction("iferror(1000+INT(($N$2-(index(split(D36,"":""),1)*60+index(split(D36,"":""),2 )))/0.2+1)*$N$3,"""")"),"")</f>
        <v/>
      </c>
      <c r="F36" s="16" t="str">
        <f t="shared" ca="1" si="5"/>
        <v/>
      </c>
      <c r="G36" s="16"/>
      <c r="H36" s="22" t="str">
        <f ca="1">IFERROR(__xludf.dummyfunction("iferror(1000+INT(($N$4-(index(split(G36,"":""),1)*60+index(split(G36,"":""),2 )))/0.2+1)*$N$5,"""")"),"")</f>
        <v/>
      </c>
      <c r="I36" s="16" t="str">
        <f t="shared" ca="1" si="6"/>
        <v/>
      </c>
      <c r="J36" s="16" t="str">
        <f t="shared" si="7"/>
        <v/>
      </c>
      <c r="K36" s="16" t="str">
        <f t="shared" si="8"/>
        <v/>
      </c>
      <c r="L36" s="16"/>
    </row>
    <row r="37" spans="1:12" ht="14.5" x14ac:dyDescent="0.35">
      <c r="A37" s="16"/>
      <c r="B37" s="16"/>
      <c r="C37" s="16"/>
      <c r="D37" s="16"/>
      <c r="E37" s="22" t="str">
        <f ca="1">IFERROR(__xludf.dummyfunction("iferror(1000+INT(($N$2-(index(split(D37,"":""),1)*60+index(split(D37,"":""),2 )))/0.2+1)*$N$3,"""")"),"")</f>
        <v/>
      </c>
      <c r="F37" s="16" t="str">
        <f t="shared" ca="1" si="5"/>
        <v/>
      </c>
      <c r="G37" s="16"/>
      <c r="H37" s="22" t="str">
        <f ca="1">IFERROR(__xludf.dummyfunction("iferror(1000+INT(($N$4-(index(split(G37,"":""),1)*60+index(split(G37,"":""),2 )))/0.2+1)*$N$5,"""")"),"")</f>
        <v/>
      </c>
      <c r="I37" s="16" t="str">
        <f t="shared" ca="1" si="6"/>
        <v/>
      </c>
      <c r="J37" s="16" t="str">
        <f t="shared" si="7"/>
        <v/>
      </c>
      <c r="K37" s="16" t="str">
        <f t="shared" si="8"/>
        <v/>
      </c>
      <c r="L37" s="16"/>
    </row>
    <row r="38" spans="1:12" ht="14.5" x14ac:dyDescent="0.35">
      <c r="A38" s="16"/>
      <c r="B38" s="16"/>
      <c r="C38" s="16"/>
      <c r="D38" s="16"/>
      <c r="E38" s="22" t="str">
        <f ca="1">IFERROR(__xludf.dummyfunction("iferror(1000+INT(($N$2-(index(split(D38,"":""),1)*60+index(split(D38,"":""),2 )))/0.2+1)*$N$3,"""")"),"")</f>
        <v/>
      </c>
      <c r="F38" s="16" t="str">
        <f t="shared" ca="1" si="5"/>
        <v/>
      </c>
      <c r="G38" s="16"/>
      <c r="H38" s="22" t="str">
        <f ca="1">IFERROR(__xludf.dummyfunction("iferror(1000+INT(($N$4-(index(split(G38,"":""),1)*60+index(split(G38,"":""),2 )))/0.2+1)*$N$5,"""")"),"")</f>
        <v/>
      </c>
      <c r="I38" s="16" t="str">
        <f t="shared" ca="1" si="6"/>
        <v/>
      </c>
      <c r="J38" s="16" t="str">
        <f t="shared" si="7"/>
        <v/>
      </c>
      <c r="K38" s="16" t="str">
        <f t="shared" si="8"/>
        <v/>
      </c>
      <c r="L38" s="16"/>
    </row>
    <row r="39" spans="1:12" ht="14.5" x14ac:dyDescent="0.35">
      <c r="A39" s="16"/>
      <c r="B39" s="16"/>
      <c r="C39" s="16"/>
      <c r="D39" s="16"/>
      <c r="E39" s="22" t="str">
        <f ca="1">IFERROR(__xludf.dummyfunction("iferror(1000+INT(($N$2-(index(split(D39,"":""),1)*60+index(split(D39,"":""),2 )))/0.2+1)*$N$3,"""")"),"")</f>
        <v/>
      </c>
      <c r="F39" s="16" t="str">
        <f t="shared" ca="1" si="5"/>
        <v/>
      </c>
      <c r="G39" s="16"/>
      <c r="H39" s="22" t="str">
        <f ca="1">IFERROR(__xludf.dummyfunction("iferror(1000+INT(($N$4-(index(split(G39,"":""),1)*60+index(split(G39,"":""),2 )))/0.2+1)*$N$5,"""")"),"")</f>
        <v/>
      </c>
      <c r="I39" s="16" t="str">
        <f t="shared" ca="1" si="6"/>
        <v/>
      </c>
      <c r="J39" s="16" t="str">
        <f t="shared" si="7"/>
        <v/>
      </c>
      <c r="K39" s="16" t="str">
        <f t="shared" si="8"/>
        <v/>
      </c>
      <c r="L39" s="16"/>
    </row>
    <row r="40" spans="1:12" ht="14.5" x14ac:dyDescent="0.35">
      <c r="A40" s="16"/>
      <c r="B40" s="16"/>
      <c r="C40" s="16"/>
      <c r="D40" s="16"/>
      <c r="E40" s="22" t="str">
        <f ca="1">IFERROR(__xludf.dummyfunction("iferror(1000+INT(($N$2-(index(split(D40,"":""),1)*60+index(split(D40,"":""),2 )))/0.2+1)*$N$3,"""")"),"")</f>
        <v/>
      </c>
      <c r="F40" s="16" t="str">
        <f t="shared" ca="1" si="5"/>
        <v/>
      </c>
      <c r="G40" s="16"/>
      <c r="H40" s="22" t="str">
        <f ca="1">IFERROR(__xludf.dummyfunction("iferror(1000+INT(($N$4-(index(split(G40,"":""),1)*60+index(split(G40,"":""),2 )))/0.2+1)*$N$5,"""")"),"")</f>
        <v/>
      </c>
      <c r="I40" s="16" t="str">
        <f t="shared" ca="1" si="6"/>
        <v/>
      </c>
      <c r="J40" s="16" t="str">
        <f t="shared" si="7"/>
        <v/>
      </c>
      <c r="K40" s="16" t="str">
        <f t="shared" si="8"/>
        <v/>
      </c>
      <c r="L40" s="16"/>
    </row>
    <row r="41" spans="1:12" ht="14.5" x14ac:dyDescent="0.35">
      <c r="A41" s="16"/>
      <c r="B41" s="16"/>
      <c r="C41" s="16"/>
      <c r="D41" s="16"/>
      <c r="E41" s="22" t="str">
        <f ca="1">IFERROR(__xludf.dummyfunction("iferror(1000+INT(($N$2-(index(split(D41,"":""),1)*60+index(split(D41,"":""),2 )))/0.2+1)*$N$3,"""")"),"")</f>
        <v/>
      </c>
      <c r="F41" s="16" t="str">
        <f t="shared" ca="1" si="5"/>
        <v/>
      </c>
      <c r="G41" s="16"/>
      <c r="H41" s="22" t="str">
        <f ca="1">IFERROR(__xludf.dummyfunction("iferror(1000+INT(($N$4-(index(split(G41,"":""),1)*60+index(split(G41,"":""),2 )))/0.2+1)*$N$5,"""")"),"")</f>
        <v/>
      </c>
      <c r="I41" s="16" t="str">
        <f t="shared" ca="1" si="6"/>
        <v/>
      </c>
      <c r="J41" s="16" t="str">
        <f t="shared" si="7"/>
        <v/>
      </c>
      <c r="K41" s="16" t="str">
        <f t="shared" si="8"/>
        <v/>
      </c>
      <c r="L41" s="16"/>
    </row>
    <row r="42" spans="1:12" ht="14.5" x14ac:dyDescent="0.35">
      <c r="A42" s="16"/>
      <c r="B42" s="16"/>
      <c r="C42" s="16"/>
      <c r="D42" s="16"/>
      <c r="E42" s="22" t="str">
        <f ca="1">IFERROR(__xludf.dummyfunction("iferror(1000+INT(($N$2-(index(split(D42,"":""),1)*60+index(split(D42,"":""),2 )))/0.2+1)*$N$3,"""")"),"")</f>
        <v/>
      </c>
      <c r="F42" s="16" t="str">
        <f t="shared" ca="1" si="5"/>
        <v/>
      </c>
      <c r="G42" s="16"/>
      <c r="H42" s="22" t="str">
        <f ca="1">IFERROR(__xludf.dummyfunction("iferror(1000+INT(($N$4-(index(split(G42,"":""),1)*60+index(split(G42,"":""),2 )))/0.2+1)*$N$5,"""")"),"")</f>
        <v/>
      </c>
      <c r="I42" s="16" t="str">
        <f t="shared" ca="1" si="6"/>
        <v/>
      </c>
      <c r="J42" s="16" t="str">
        <f t="shared" si="7"/>
        <v/>
      </c>
      <c r="K42" s="16" t="str">
        <f t="shared" si="8"/>
        <v/>
      </c>
      <c r="L42" s="16"/>
    </row>
    <row r="43" spans="1:12" ht="14.5" x14ac:dyDescent="0.35">
      <c r="A43" s="16"/>
      <c r="B43" s="16"/>
      <c r="C43" s="16"/>
      <c r="D43" s="16"/>
      <c r="E43" s="22" t="str">
        <f ca="1">IFERROR(__xludf.dummyfunction("iferror(1000+INT(($N$2-(index(split(D43,"":""),1)*60+index(split(D43,"":""),2 )))/0.2+1)*$N$3,"""")"),"")</f>
        <v/>
      </c>
      <c r="F43" s="16" t="str">
        <f t="shared" ca="1" si="5"/>
        <v/>
      </c>
      <c r="G43" s="16"/>
      <c r="H43" s="22" t="str">
        <f ca="1">IFERROR(__xludf.dummyfunction("iferror(1000+INT(($N$4-(index(split(G43,"":""),1)*60+index(split(G43,"":""),2 )))/0.2+1)*$N$5,"""")"),"")</f>
        <v/>
      </c>
      <c r="I43" s="16" t="str">
        <f t="shared" ca="1" si="6"/>
        <v/>
      </c>
      <c r="J43" s="16" t="str">
        <f t="shared" si="7"/>
        <v/>
      </c>
      <c r="K43" s="16" t="str">
        <f t="shared" si="8"/>
        <v/>
      </c>
      <c r="L43" s="16"/>
    </row>
    <row r="44" spans="1:12" ht="14.5" x14ac:dyDescent="0.35">
      <c r="A44" s="16"/>
      <c r="B44" s="16"/>
      <c r="C44" s="16"/>
      <c r="D44" s="16"/>
      <c r="E44" s="22" t="str">
        <f ca="1">IFERROR(__xludf.dummyfunction("iferror(1000+INT(($N$2-(index(split(D44,"":""),1)*60+index(split(D44,"":""),2 )))/0.2+1)*$N$3,"""")"),"")</f>
        <v/>
      </c>
      <c r="F44" s="16" t="str">
        <f t="shared" ca="1" si="5"/>
        <v/>
      </c>
      <c r="G44" s="16"/>
      <c r="H44" s="22" t="str">
        <f ca="1">IFERROR(__xludf.dummyfunction("iferror(1000+INT(($N$4-(index(split(G44,"":""),1)*60+index(split(G44,"":""),2 )))/0.2+1)*$N$5,"""")"),"")</f>
        <v/>
      </c>
      <c r="I44" s="16" t="str">
        <f t="shared" ca="1" si="6"/>
        <v/>
      </c>
      <c r="J44" s="16" t="str">
        <f t="shared" si="7"/>
        <v/>
      </c>
      <c r="K44" s="16" t="str">
        <f t="shared" si="8"/>
        <v/>
      </c>
      <c r="L44" s="16"/>
    </row>
    <row r="45" spans="1:12" ht="14.5" x14ac:dyDescent="0.35">
      <c r="A45" s="16"/>
      <c r="B45" s="16"/>
      <c r="C45" s="16"/>
      <c r="D45" s="16"/>
      <c r="E45" s="22" t="str">
        <f ca="1">IFERROR(__xludf.dummyfunction("iferror(1000+INT(($N$2-(index(split(D45,"":""),1)*60+index(split(D45,"":""),2 )))/0.2+1)*$N$3,"""")"),"")</f>
        <v/>
      </c>
      <c r="F45" s="16" t="str">
        <f t="shared" ca="1" si="5"/>
        <v/>
      </c>
      <c r="G45" s="16"/>
      <c r="H45" s="22" t="str">
        <f ca="1">IFERROR(__xludf.dummyfunction("iferror(1000+INT(($N$4-(index(split(G45,"":""),1)*60+index(split(G45,"":""),2 )))/0.2+1)*$N$5,"""")"),"")</f>
        <v/>
      </c>
      <c r="I45" s="16" t="str">
        <f t="shared" ca="1" si="6"/>
        <v/>
      </c>
      <c r="J45" s="16" t="str">
        <f t="shared" si="7"/>
        <v/>
      </c>
      <c r="K45" s="16" t="str">
        <f t="shared" si="8"/>
        <v/>
      </c>
      <c r="L45" s="16"/>
    </row>
    <row r="46" spans="1:12" ht="14.5" x14ac:dyDescent="0.35">
      <c r="A46" s="16"/>
      <c r="B46" s="16"/>
      <c r="C46" s="16"/>
      <c r="D46" s="16"/>
      <c r="E46" s="22" t="str">
        <f ca="1">IFERROR(__xludf.dummyfunction("iferror(1000+INT(($N$2-(index(split(D46,"":""),1)*60+index(split(D46,"":""),2 )))/0.2+1)*$N$3,"""")"),"")</f>
        <v/>
      </c>
      <c r="F46" s="16" t="str">
        <f t="shared" ca="1" si="5"/>
        <v/>
      </c>
      <c r="G46" s="16"/>
      <c r="H46" s="22" t="str">
        <f ca="1">IFERROR(__xludf.dummyfunction("iferror(1000+INT(($N$4-(index(split(G46,"":""),1)*60+index(split(G46,"":""),2 )))/0.2+1)*$N$5,"""")"),"")</f>
        <v/>
      </c>
      <c r="I46" s="16" t="str">
        <f t="shared" ca="1" si="6"/>
        <v/>
      </c>
      <c r="J46" s="16" t="str">
        <f t="shared" si="7"/>
        <v/>
      </c>
      <c r="K46" s="16" t="str">
        <f t="shared" si="8"/>
        <v/>
      </c>
      <c r="L46" s="16"/>
    </row>
    <row r="47" spans="1:12" ht="14.5" x14ac:dyDescent="0.35">
      <c r="A47" s="16"/>
      <c r="B47" s="16"/>
      <c r="C47" s="16"/>
      <c r="D47" s="16"/>
      <c r="E47" s="22" t="str">
        <f ca="1">IFERROR(__xludf.dummyfunction("iferror(1000+INT(($N$2-(index(split(D47,"":""),1)*60+index(split(D47,"":""),2 )))/0.2+1)*$N$3,"""")"),"")</f>
        <v/>
      </c>
      <c r="F47" s="16" t="str">
        <f t="shared" ca="1" si="5"/>
        <v/>
      </c>
      <c r="G47" s="16"/>
      <c r="H47" s="22" t="str">
        <f ca="1">IFERROR(__xludf.dummyfunction("iferror(1000+INT(($N$4-(index(split(G47,"":""),1)*60+index(split(G47,"":""),2 )))/0.2+1)*$N$5,"""")"),"")</f>
        <v/>
      </c>
      <c r="I47" s="16" t="str">
        <f t="shared" ca="1" si="6"/>
        <v/>
      </c>
      <c r="J47" s="16" t="str">
        <f t="shared" si="7"/>
        <v/>
      </c>
      <c r="K47" s="16" t="str">
        <f t="shared" si="8"/>
        <v/>
      </c>
      <c r="L47" s="16"/>
    </row>
    <row r="48" spans="1:12" ht="14.5" x14ac:dyDescent="0.35">
      <c r="A48" s="16"/>
      <c r="B48" s="16"/>
      <c r="C48" s="16"/>
      <c r="D48" s="16"/>
      <c r="E48" s="22" t="str">
        <f ca="1">IFERROR(__xludf.dummyfunction("iferror(1000+INT(($N$2-(index(split(D48,"":""),1)*60+index(split(D48,"":""),2 )))/0.2+1)*$N$3,"""")"),"")</f>
        <v/>
      </c>
      <c r="F48" s="16" t="str">
        <f t="shared" ca="1" si="5"/>
        <v/>
      </c>
      <c r="G48" s="16"/>
      <c r="H48" s="22" t="str">
        <f ca="1">IFERROR(__xludf.dummyfunction("iferror(1000+INT(($N$4-(index(split(G48,"":""),1)*60+index(split(G48,"":""),2 )))/0.2+1)*$N$5,"""")"),"")</f>
        <v/>
      </c>
      <c r="I48" s="16" t="str">
        <f t="shared" ca="1" si="6"/>
        <v/>
      </c>
      <c r="J48" s="16" t="str">
        <f t="shared" si="7"/>
        <v/>
      </c>
      <c r="K48" s="16" t="str">
        <f t="shared" si="8"/>
        <v/>
      </c>
      <c r="L48" s="16"/>
    </row>
    <row r="49" spans="1:12" ht="14.5" x14ac:dyDescent="0.35">
      <c r="A49" s="16"/>
      <c r="B49" s="16"/>
      <c r="C49" s="16"/>
      <c r="D49" s="16"/>
      <c r="E49" s="22" t="str">
        <f ca="1">IFERROR(__xludf.dummyfunction("iferror(1000+INT(($N$2-(index(split(D49,"":""),1)*60+index(split(D49,"":""),2 )))/0.2+1)*$N$3,"""")"),"")</f>
        <v/>
      </c>
      <c r="F49" s="16" t="str">
        <f t="shared" ca="1" si="5"/>
        <v/>
      </c>
      <c r="G49" s="16"/>
      <c r="H49" s="22" t="str">
        <f ca="1">IFERROR(__xludf.dummyfunction("iferror(1000+INT(($N$4-(index(split(G49,"":""),1)*60+index(split(G49,"":""),2 )))/0.2+1)*$N$5,"""")"),"")</f>
        <v/>
      </c>
      <c r="I49" s="16" t="str">
        <f t="shared" ca="1" si="6"/>
        <v/>
      </c>
      <c r="J49" s="16" t="str">
        <f t="shared" si="7"/>
        <v/>
      </c>
      <c r="K49" s="16" t="str">
        <f t="shared" si="8"/>
        <v/>
      </c>
      <c r="L49" s="16"/>
    </row>
    <row r="50" spans="1:12" ht="14.5" x14ac:dyDescent="0.35">
      <c r="A50" s="16"/>
      <c r="B50" s="16"/>
      <c r="C50" s="16"/>
      <c r="D50" s="16"/>
      <c r="E50" s="22" t="str">
        <f ca="1">IFERROR(__xludf.dummyfunction("iferror(1000+INT(($N$2-(index(split(D50,"":""),1)*60+index(split(D50,"":""),2 )))/0.2+1)*$N$3,"""")"),"")</f>
        <v/>
      </c>
      <c r="F50" s="16" t="str">
        <f t="shared" ca="1" si="5"/>
        <v/>
      </c>
      <c r="G50" s="16"/>
      <c r="H50" s="22" t="str">
        <f ca="1">IFERROR(__xludf.dummyfunction("iferror(1000+INT(($N$4-(index(split(G50,"":""),1)*60+index(split(G50,"":""),2 )))/0.2+1)*$N$5,"""")"),"")</f>
        <v/>
      </c>
      <c r="I50" s="16" t="str">
        <f t="shared" ca="1" si="6"/>
        <v/>
      </c>
      <c r="J50" s="16" t="str">
        <f t="shared" si="7"/>
        <v/>
      </c>
      <c r="K50" s="16" t="str">
        <f t="shared" si="8"/>
        <v/>
      </c>
      <c r="L50" s="16"/>
    </row>
    <row r="51" spans="1:12" ht="14.5" x14ac:dyDescent="0.35">
      <c r="A51" s="16"/>
      <c r="B51" s="16"/>
      <c r="C51" s="16"/>
      <c r="D51" s="16"/>
      <c r="E51" s="22" t="str">
        <f ca="1">IFERROR(__xludf.dummyfunction("iferror(1000+INT(($N$2-(index(split(D51,"":""),1)*60+index(split(D51,"":""),2 )))/0.2+1)*$N$3,"""")"),"")</f>
        <v/>
      </c>
      <c r="F51" s="16" t="str">
        <f t="shared" ca="1" si="5"/>
        <v/>
      </c>
      <c r="G51" s="16"/>
      <c r="H51" s="22" t="str">
        <f ca="1">IFERROR(__xludf.dummyfunction("iferror(1000+INT(($N$4-(index(split(G51,"":""),1)*60+index(split(G51,"":""),2 )))/0.2+1)*$N$5,"""")"),"")</f>
        <v/>
      </c>
      <c r="I51" s="16" t="str">
        <f t="shared" ca="1" si="6"/>
        <v/>
      </c>
      <c r="J51" s="16" t="str">
        <f t="shared" si="7"/>
        <v/>
      </c>
      <c r="K51" s="16" t="str">
        <f t="shared" si="8"/>
        <v/>
      </c>
      <c r="L51" s="16"/>
    </row>
    <row r="52" spans="1:12" ht="14.5" x14ac:dyDescent="0.35">
      <c r="A52" s="16"/>
      <c r="B52" s="16"/>
      <c r="C52" s="16"/>
      <c r="D52" s="16"/>
      <c r="E52" s="22" t="str">
        <f ca="1">IFERROR(__xludf.dummyfunction("iferror(1000+INT(($N$2-(index(split(D52,"":""),1)*60+index(split(D52,"":""),2 )))/0.2+1)*$N$3,"""")"),"")</f>
        <v/>
      </c>
      <c r="F52" s="16" t="str">
        <f t="shared" ca="1" si="5"/>
        <v/>
      </c>
      <c r="G52" s="16"/>
      <c r="H52" s="22" t="str">
        <f ca="1">IFERROR(__xludf.dummyfunction("iferror(1000+INT(($N$4-(index(split(G52,"":""),1)*60+index(split(G52,"":""),2 )))/0.2+1)*$N$5,"""")"),"")</f>
        <v/>
      </c>
      <c r="I52" s="16" t="str">
        <f t="shared" ca="1" si="6"/>
        <v/>
      </c>
      <c r="J52" s="16" t="str">
        <f t="shared" si="7"/>
        <v/>
      </c>
      <c r="K52" s="16" t="str">
        <f t="shared" si="8"/>
        <v/>
      </c>
      <c r="L52" s="16"/>
    </row>
    <row r="53" spans="1:12" ht="14.5" x14ac:dyDescent="0.35">
      <c r="A53" s="16"/>
      <c r="B53" s="16"/>
      <c r="C53" s="16"/>
      <c r="D53" s="16"/>
      <c r="E53" s="22" t="str">
        <f ca="1">IFERROR(__xludf.dummyfunction("iferror(1000+INT(($N$2-(index(split(D53,"":""),1)*60+index(split(D53,"":""),2 )))/0.2+1)*$N$3,"""")"),"")</f>
        <v/>
      </c>
      <c r="F53" s="16" t="str">
        <f t="shared" ca="1" si="5"/>
        <v/>
      </c>
      <c r="G53" s="16"/>
      <c r="H53" s="22" t="str">
        <f ca="1">IFERROR(__xludf.dummyfunction("iferror(1000+INT(($N$4-(index(split(G53,"":""),1)*60+index(split(G53,"":""),2 )))/0.2+1)*$N$5,"""")"),"")</f>
        <v/>
      </c>
      <c r="I53" s="16" t="str">
        <f t="shared" ca="1" si="6"/>
        <v/>
      </c>
      <c r="J53" s="16" t="str">
        <f t="shared" si="7"/>
        <v/>
      </c>
      <c r="K53" s="16" t="str">
        <f t="shared" si="8"/>
        <v/>
      </c>
      <c r="L53" s="16"/>
    </row>
    <row r="54" spans="1:12" ht="14.5" x14ac:dyDescent="0.35">
      <c r="A54" s="16"/>
      <c r="B54" s="16"/>
      <c r="C54" s="16"/>
      <c r="D54" s="16"/>
      <c r="E54" s="22" t="str">
        <f ca="1">IFERROR(__xludf.dummyfunction("iferror(1000+INT(($N$2-(index(split(D54,"":""),1)*60+index(split(D54,"":""),2 )))/0.2+1)*$N$3,"""")"),"")</f>
        <v/>
      </c>
      <c r="F54" s="16" t="str">
        <f t="shared" ca="1" si="5"/>
        <v/>
      </c>
      <c r="G54" s="16"/>
      <c r="H54" s="22" t="str">
        <f ca="1">IFERROR(__xludf.dummyfunction("iferror(1000+INT(($N$4-(index(split(G54,"":""),1)*60+index(split(G54,"":""),2 )))/0.2+1)*$N$5,"""")"),"")</f>
        <v/>
      </c>
      <c r="I54" s="16" t="str">
        <f t="shared" ca="1" si="6"/>
        <v/>
      </c>
      <c r="J54" s="16" t="str">
        <f t="shared" si="7"/>
        <v/>
      </c>
      <c r="K54" s="16" t="str">
        <f t="shared" si="8"/>
        <v/>
      </c>
      <c r="L54" s="16"/>
    </row>
    <row r="55" spans="1:12" ht="14.5" x14ac:dyDescent="0.35">
      <c r="A55" s="16"/>
      <c r="B55" s="16"/>
      <c r="C55" s="16"/>
      <c r="D55" s="16"/>
      <c r="E55" s="22" t="str">
        <f ca="1">IFERROR(__xludf.dummyfunction("iferror(1000+INT(($N$2-(index(split(D55,"":""),1)*60+index(split(D55,"":""),2 )))/0.2+1)*$N$3,"""")"),"")</f>
        <v/>
      </c>
      <c r="F55" s="16" t="str">
        <f t="shared" ca="1" si="5"/>
        <v/>
      </c>
      <c r="G55" s="16"/>
      <c r="H55" s="22" t="str">
        <f ca="1">IFERROR(__xludf.dummyfunction("iferror(1000+INT(($N$4-(index(split(G55,"":""),1)*60+index(split(G55,"":""),2 )))/0.2+1)*$N$5,"""")"),"")</f>
        <v/>
      </c>
      <c r="I55" s="16" t="str">
        <f t="shared" ca="1" si="6"/>
        <v/>
      </c>
      <c r="J55" s="16" t="str">
        <f t="shared" si="7"/>
        <v/>
      </c>
      <c r="K55" s="16" t="str">
        <f t="shared" si="8"/>
        <v/>
      </c>
      <c r="L55" s="16"/>
    </row>
    <row r="56" spans="1:12" ht="14.5" x14ac:dyDescent="0.35">
      <c r="A56" s="16"/>
      <c r="B56" s="16"/>
      <c r="C56" s="16"/>
      <c r="D56" s="16"/>
      <c r="E56" s="22" t="str">
        <f ca="1">IFERROR(__xludf.dummyfunction("iferror(1000+INT(($N$2-(index(split(D56,"":""),1)*60+index(split(D56,"":""),2 )))/0.2+1)*$N$3,"""")"),"")</f>
        <v/>
      </c>
      <c r="F56" s="16" t="str">
        <f t="shared" ca="1" si="5"/>
        <v/>
      </c>
      <c r="G56" s="16"/>
      <c r="H56" s="22" t="str">
        <f ca="1">IFERROR(__xludf.dummyfunction("iferror(1000+INT(($N$4-(index(split(G56,"":""),1)*60+index(split(G56,"":""),2 )))/0.2+1)*$N$5,"""")"),"")</f>
        <v/>
      </c>
      <c r="I56" s="16" t="str">
        <f t="shared" ca="1" si="6"/>
        <v/>
      </c>
      <c r="J56" s="16" t="str">
        <f t="shared" si="7"/>
        <v/>
      </c>
      <c r="K56" s="16" t="str">
        <f t="shared" si="8"/>
        <v/>
      </c>
      <c r="L56" s="16"/>
    </row>
    <row r="57" spans="1:12" ht="14.5" x14ac:dyDescent="0.35">
      <c r="A57" s="16"/>
      <c r="B57" s="16"/>
      <c r="C57" s="16"/>
      <c r="D57" s="16"/>
      <c r="E57" s="22" t="str">
        <f ca="1">IFERROR(__xludf.dummyfunction("iferror(1000+INT(($N$2-(index(split(D57,"":""),1)*60+index(split(D57,"":""),2 )))/0.2+1)*$N$3,"""")"),"")</f>
        <v/>
      </c>
      <c r="F57" s="16" t="str">
        <f t="shared" ca="1" si="5"/>
        <v/>
      </c>
      <c r="G57" s="16"/>
      <c r="H57" s="22" t="str">
        <f ca="1">IFERROR(__xludf.dummyfunction("iferror(1000+INT(($N$4-(index(split(G57,"":""),1)*60+index(split(G57,"":""),2 )))/0.2+1)*$N$5,"""")"),"")</f>
        <v/>
      </c>
      <c r="I57" s="16" t="str">
        <f t="shared" ca="1" si="6"/>
        <v/>
      </c>
      <c r="J57" s="16" t="str">
        <f t="shared" si="7"/>
        <v/>
      </c>
      <c r="K57" s="16" t="str">
        <f t="shared" si="8"/>
        <v/>
      </c>
      <c r="L57" s="16"/>
    </row>
    <row r="58" spans="1:12" ht="14.5" x14ac:dyDescent="0.35">
      <c r="A58" s="16"/>
      <c r="B58" s="16"/>
      <c r="C58" s="16"/>
      <c r="D58" s="16"/>
      <c r="E58" s="22" t="str">
        <f ca="1">IFERROR(__xludf.dummyfunction("iferror(1000+INT(($N$2-(index(split(D58,"":""),1)*60+index(split(D58,"":""),2 )))/0.2+1)*$N$3,"""")"),"")</f>
        <v/>
      </c>
      <c r="F58" s="16" t="str">
        <f t="shared" ca="1" si="5"/>
        <v/>
      </c>
      <c r="G58" s="16"/>
      <c r="H58" s="22" t="str">
        <f ca="1">IFERROR(__xludf.dummyfunction("iferror(1000+INT(($N$4-(index(split(G58,"":""),1)*60+index(split(G58,"":""),2 )))/0.2+1)*$N$5,"""")"),"")</f>
        <v/>
      </c>
      <c r="I58" s="16" t="str">
        <f t="shared" ca="1" si="6"/>
        <v/>
      </c>
      <c r="J58" s="16" t="str">
        <f t="shared" si="7"/>
        <v/>
      </c>
      <c r="K58" s="16" t="str">
        <f t="shared" si="8"/>
        <v/>
      </c>
      <c r="L58" s="16"/>
    </row>
    <row r="59" spans="1:12" ht="14.5" x14ac:dyDescent="0.35">
      <c r="A59" s="16"/>
      <c r="B59" s="16"/>
      <c r="C59" s="16"/>
      <c r="D59" s="16"/>
      <c r="E59" s="22" t="str">
        <f ca="1">IFERROR(__xludf.dummyfunction("iferror(1000+INT(($N$2-(index(split(D59,"":""),1)*60+index(split(D59,"":""),2 )))/0.2+1)*$N$3,"""")"),"")</f>
        <v/>
      </c>
      <c r="F59" s="16" t="str">
        <f t="shared" ca="1" si="5"/>
        <v/>
      </c>
      <c r="G59" s="16"/>
      <c r="H59" s="22" t="str">
        <f ca="1">IFERROR(__xludf.dummyfunction("iferror(1000+INT(($N$4-(index(split(G59,"":""),1)*60+index(split(G59,"":""),2 )))/0.2+1)*$N$5,"""")"),"")</f>
        <v/>
      </c>
      <c r="I59" s="16" t="str">
        <f t="shared" ca="1" si="6"/>
        <v/>
      </c>
      <c r="J59" s="16" t="str">
        <f t="shared" si="7"/>
        <v/>
      </c>
      <c r="K59" s="16" t="str">
        <f t="shared" si="8"/>
        <v/>
      </c>
      <c r="L59" s="16"/>
    </row>
    <row r="60" spans="1:12" ht="14.5" x14ac:dyDescent="0.35">
      <c r="A60" s="16"/>
      <c r="B60" s="16"/>
      <c r="C60" s="16"/>
      <c r="D60" s="16"/>
      <c r="E60" s="22" t="str">
        <f ca="1">IFERROR(__xludf.dummyfunction("iferror(1000+INT(($N$2-(index(split(D60,"":""),1)*60+index(split(D60,"":""),2 )))/0.2+1)*$N$3,"""")"),"")</f>
        <v/>
      </c>
      <c r="F60" s="16" t="str">
        <f t="shared" ca="1" si="5"/>
        <v/>
      </c>
      <c r="G60" s="16"/>
      <c r="H60" s="22" t="str">
        <f ca="1">IFERROR(__xludf.dummyfunction("iferror(1000+INT(($N$4-(index(split(G60,"":""),1)*60+index(split(G60,"":""),2 )))/0.2+1)*$N$5,"""")"),"")</f>
        <v/>
      </c>
      <c r="I60" s="16" t="str">
        <f t="shared" ca="1" si="6"/>
        <v/>
      </c>
      <c r="J60" s="16" t="str">
        <f t="shared" si="7"/>
        <v/>
      </c>
      <c r="K60" s="16" t="str">
        <f t="shared" si="8"/>
        <v/>
      </c>
      <c r="L60" s="16"/>
    </row>
    <row r="61" spans="1:12" ht="14.5" x14ac:dyDescent="0.35">
      <c r="A61" s="16"/>
      <c r="B61" s="16"/>
      <c r="C61" s="16"/>
      <c r="D61" s="16"/>
      <c r="E61" s="22" t="str">
        <f ca="1">IFERROR(__xludf.dummyfunction("iferror(1000+INT(($N$2-(index(split(D61,"":""),1)*60+index(split(D61,"":""),2 )))/0.2+1)*$N$3,"""")"),"")</f>
        <v/>
      </c>
      <c r="F61" s="16" t="str">
        <f t="shared" ca="1" si="5"/>
        <v/>
      </c>
      <c r="G61" s="16"/>
      <c r="H61" s="22" t="str">
        <f ca="1">IFERROR(__xludf.dummyfunction("iferror(1000+INT(($N$4-(index(split(G61,"":""),1)*60+index(split(G61,"":""),2 )))/0.2+1)*$N$5,"""")"),"")</f>
        <v/>
      </c>
      <c r="I61" s="16" t="str">
        <f t="shared" ca="1" si="6"/>
        <v/>
      </c>
      <c r="J61" s="16" t="str">
        <f t="shared" si="7"/>
        <v/>
      </c>
      <c r="K61" s="16" t="str">
        <f t="shared" si="8"/>
        <v/>
      </c>
      <c r="L61" s="16"/>
    </row>
    <row r="62" spans="1:12" ht="14.5" x14ac:dyDescent="0.35">
      <c r="A62" s="16"/>
      <c r="B62" s="16"/>
      <c r="C62" s="16"/>
      <c r="D62" s="16"/>
      <c r="E62" s="22" t="str">
        <f ca="1">IFERROR(__xludf.dummyfunction("iferror(1000+INT(($N$2-(index(split(D62,"":""),1)*60+index(split(D62,"":""),2 )))/0.2+1)*$N$3,"""")"),"")</f>
        <v/>
      </c>
      <c r="F62" s="16" t="str">
        <f t="shared" ca="1" si="5"/>
        <v/>
      </c>
      <c r="G62" s="16"/>
      <c r="H62" s="22" t="str">
        <f ca="1">IFERROR(__xludf.dummyfunction("iferror(1000+INT(($N$4-(index(split(G62,"":""),1)*60+index(split(G62,"":""),2 )))/0.2+1)*$N$5,"""")"),"")</f>
        <v/>
      </c>
      <c r="I62" s="16" t="str">
        <f t="shared" ca="1" si="6"/>
        <v/>
      </c>
      <c r="J62" s="16" t="str">
        <f t="shared" si="7"/>
        <v/>
      </c>
      <c r="K62" s="16" t="str">
        <f t="shared" si="8"/>
        <v/>
      </c>
      <c r="L62" s="16"/>
    </row>
    <row r="63" spans="1:12" ht="14.5" x14ac:dyDescent="0.35">
      <c r="A63" s="16"/>
      <c r="B63" s="16"/>
      <c r="C63" s="16"/>
      <c r="D63" s="16"/>
      <c r="E63" s="22" t="str">
        <f ca="1">IFERROR(__xludf.dummyfunction("iferror(1000+INT(($N$2-(index(split(D63,"":""),1)*60+index(split(D63,"":""),2 )))/0.2+1)*$N$3,"""")"),"")</f>
        <v/>
      </c>
      <c r="F63" s="16" t="str">
        <f t="shared" ca="1" si="5"/>
        <v/>
      </c>
      <c r="G63" s="16"/>
      <c r="H63" s="22" t="str">
        <f ca="1">IFERROR(__xludf.dummyfunction("iferror(1000+INT(($N$4-(index(split(G63,"":""),1)*60+index(split(G63,"":""),2 )))/0.2+1)*$N$5,"""")"),"")</f>
        <v/>
      </c>
      <c r="I63" s="16" t="str">
        <f t="shared" ca="1" si="6"/>
        <v/>
      </c>
      <c r="J63" s="16" t="str">
        <f t="shared" si="7"/>
        <v/>
      </c>
      <c r="K63" s="16" t="str">
        <f t="shared" si="8"/>
        <v/>
      </c>
      <c r="L63" s="16"/>
    </row>
    <row r="64" spans="1:12" ht="14.5" x14ac:dyDescent="0.35">
      <c r="A64" s="16"/>
      <c r="B64" s="16"/>
      <c r="C64" s="16"/>
      <c r="D64" s="16"/>
      <c r="E64" s="22" t="str">
        <f ca="1">IFERROR(__xludf.dummyfunction("iferror(1000+INT(($N$2-(index(split(D64,"":""),1)*60+index(split(D64,"":""),2 )))/0.2+1)*$N$3,"""")"),"")</f>
        <v/>
      </c>
      <c r="F64" s="16" t="str">
        <f t="shared" ca="1" si="5"/>
        <v/>
      </c>
      <c r="G64" s="16"/>
      <c r="H64" s="22" t="str">
        <f ca="1">IFERROR(__xludf.dummyfunction("iferror(1000+INT(($N$4-(index(split(G64,"":""),1)*60+index(split(G64,"":""),2 )))/0.2+1)*$N$5,"""")"),"")</f>
        <v/>
      </c>
      <c r="I64" s="16" t="str">
        <f t="shared" ca="1" si="6"/>
        <v/>
      </c>
      <c r="J64" s="16" t="str">
        <f t="shared" si="7"/>
        <v/>
      </c>
      <c r="K64" s="16" t="str">
        <f t="shared" si="8"/>
        <v/>
      </c>
      <c r="L64" s="16"/>
    </row>
    <row r="65" spans="1:12" ht="14.5" x14ac:dyDescent="0.35">
      <c r="A65" s="16"/>
      <c r="B65" s="16"/>
      <c r="C65" s="16"/>
      <c r="D65" s="16"/>
      <c r="E65" s="22" t="str">
        <f ca="1">IFERROR(__xludf.dummyfunction("iferror(1000+INT(($N$2-(index(split(D65,"":""),1)*60+index(split(D65,"":""),2 )))/0.2+1)*$N$3,"""")"),"")</f>
        <v/>
      </c>
      <c r="F65" s="16" t="str">
        <f t="shared" ca="1" si="5"/>
        <v/>
      </c>
      <c r="G65" s="16"/>
      <c r="H65" s="22" t="str">
        <f ca="1">IFERROR(__xludf.dummyfunction("iferror(1000+INT(($N$4-(index(split(G65,"":""),1)*60+index(split(G65,"":""),2 )))/0.2+1)*$N$5,"""")"),"")</f>
        <v/>
      </c>
      <c r="I65" s="16" t="str">
        <f t="shared" ca="1" si="6"/>
        <v/>
      </c>
      <c r="J65" s="16" t="str">
        <f t="shared" si="7"/>
        <v/>
      </c>
      <c r="K65" s="16" t="str">
        <f t="shared" si="8"/>
        <v/>
      </c>
      <c r="L65" s="16"/>
    </row>
    <row r="66" spans="1:12" ht="14.5" x14ac:dyDescent="0.35">
      <c r="A66" s="16"/>
      <c r="B66" s="16"/>
      <c r="C66" s="16"/>
      <c r="D66" s="16"/>
      <c r="E66" s="22" t="str">
        <f ca="1">IFERROR(__xludf.dummyfunction("iferror(1000+INT(($N$2-(index(split(D66,"":""),1)*60+index(split(D66,"":""),2 )))/0.2+1)*$N$3,"""")"),"")</f>
        <v/>
      </c>
      <c r="F66" s="16" t="str">
        <f t="shared" ref="F66:F97" ca="1" si="9">IFERROR(_xlfn.RANK.EQ(E66,E:E),"")</f>
        <v/>
      </c>
      <c r="G66" s="16"/>
      <c r="H66" s="22" t="str">
        <f ca="1">IFERROR(__xludf.dummyfunction("iferror(1000+INT(($N$4-(index(split(G66,"":""),1)*60+index(split(G66,"":""),2 )))/0.2+1)*$N$5,"""")"),"")</f>
        <v/>
      </c>
      <c r="I66" s="16" t="str">
        <f t="shared" ref="I66:I97" ca="1" si="10">IFERROR(_xlfn.RANK.EQ(H66,H:H),"")</f>
        <v/>
      </c>
      <c r="J66" s="16" t="str">
        <f t="shared" ref="J66:J100" si="11">IF(AND(D66="", G66=""), "", E66+H66)</f>
        <v/>
      </c>
      <c r="K66" s="16" t="str">
        <f t="shared" ref="K66:K97" si="12">IFERROR(_xlfn.RANK.EQ(J66,J:J),"")</f>
        <v/>
      </c>
      <c r="L66" s="16"/>
    </row>
    <row r="67" spans="1:12" ht="14.5" x14ac:dyDescent="0.35">
      <c r="A67" s="16"/>
      <c r="B67" s="16"/>
      <c r="C67" s="16"/>
      <c r="D67" s="16"/>
      <c r="E67" s="22" t="str">
        <f ca="1">IFERROR(__xludf.dummyfunction("iferror(1000+INT(($N$2-(index(split(D67,"":""),1)*60+index(split(D67,"":""),2 )))/0.2+1)*$N$3,"""")"),"")</f>
        <v/>
      </c>
      <c r="F67" s="16" t="str">
        <f t="shared" ca="1" si="9"/>
        <v/>
      </c>
      <c r="G67" s="16"/>
      <c r="H67" s="22" t="str">
        <f ca="1">IFERROR(__xludf.dummyfunction("iferror(1000+INT(($N$4-(index(split(G67,"":""),1)*60+index(split(G67,"":""),2 )))/0.2+1)*$N$5,"""")"),"")</f>
        <v/>
      </c>
      <c r="I67" s="16" t="str">
        <f t="shared" ca="1" si="10"/>
        <v/>
      </c>
      <c r="J67" s="16" t="str">
        <f t="shared" si="11"/>
        <v/>
      </c>
      <c r="K67" s="16" t="str">
        <f t="shared" si="12"/>
        <v/>
      </c>
      <c r="L67" s="16"/>
    </row>
    <row r="68" spans="1:12" ht="14.5" x14ac:dyDescent="0.35">
      <c r="A68" s="16"/>
      <c r="B68" s="16"/>
      <c r="C68" s="16"/>
      <c r="D68" s="16"/>
      <c r="E68" s="22" t="str">
        <f ca="1">IFERROR(__xludf.dummyfunction("iferror(1000+INT(($N$2-(index(split(D68,"":""),1)*60+index(split(D68,"":""),2 )))/0.2+1)*$N$3,"""")"),"")</f>
        <v/>
      </c>
      <c r="F68" s="16" t="str">
        <f t="shared" ca="1" si="9"/>
        <v/>
      </c>
      <c r="G68" s="16"/>
      <c r="H68" s="22" t="str">
        <f ca="1">IFERROR(__xludf.dummyfunction("iferror(1000+INT(($N$4-(index(split(G68,"":""),1)*60+index(split(G68,"":""),2 )))/0.2+1)*$N$5,"""")"),"")</f>
        <v/>
      </c>
      <c r="I68" s="16" t="str">
        <f t="shared" ca="1" si="10"/>
        <v/>
      </c>
      <c r="J68" s="16" t="str">
        <f t="shared" si="11"/>
        <v/>
      </c>
      <c r="K68" s="16" t="str">
        <f t="shared" si="12"/>
        <v/>
      </c>
      <c r="L68" s="16"/>
    </row>
    <row r="69" spans="1:12" ht="14.5" x14ac:dyDescent="0.35">
      <c r="A69" s="16"/>
      <c r="B69" s="16"/>
      <c r="C69" s="16"/>
      <c r="D69" s="16"/>
      <c r="E69" s="22" t="str">
        <f ca="1">IFERROR(__xludf.dummyfunction("iferror(1000+INT(($N$2-(index(split(D69,"":""),1)*60+index(split(D69,"":""),2 )))/0.2+1)*$N$3,"""")"),"")</f>
        <v/>
      </c>
      <c r="F69" s="16" t="str">
        <f t="shared" ca="1" si="9"/>
        <v/>
      </c>
      <c r="G69" s="16"/>
      <c r="H69" s="22" t="str">
        <f ca="1">IFERROR(__xludf.dummyfunction("iferror(1000+INT(($N$4-(index(split(G69,"":""),1)*60+index(split(G69,"":""),2 )))/0.2+1)*$N$5,"""")"),"")</f>
        <v/>
      </c>
      <c r="I69" s="16" t="str">
        <f t="shared" ca="1" si="10"/>
        <v/>
      </c>
      <c r="J69" s="16" t="str">
        <f t="shared" si="11"/>
        <v/>
      </c>
      <c r="K69" s="16" t="str">
        <f t="shared" si="12"/>
        <v/>
      </c>
      <c r="L69" s="16"/>
    </row>
    <row r="70" spans="1:12" ht="14.5" x14ac:dyDescent="0.35">
      <c r="A70" s="16"/>
      <c r="B70" s="16"/>
      <c r="C70" s="16"/>
      <c r="D70" s="16"/>
      <c r="E70" s="22" t="str">
        <f ca="1">IFERROR(__xludf.dummyfunction("iferror(1000+INT(($N$2-(index(split(D70,"":""),1)*60+index(split(D70,"":""),2 )))/0.2+1)*$N$3,"""")"),"")</f>
        <v/>
      </c>
      <c r="F70" s="16" t="str">
        <f t="shared" ca="1" si="9"/>
        <v/>
      </c>
      <c r="G70" s="16"/>
      <c r="H70" s="22" t="str">
        <f ca="1">IFERROR(__xludf.dummyfunction("iferror(1000+INT(($N$4-(index(split(G70,"":""),1)*60+index(split(G70,"":""),2 )))/0.2+1)*$N$5,"""")"),"")</f>
        <v/>
      </c>
      <c r="I70" s="16" t="str">
        <f t="shared" ca="1" si="10"/>
        <v/>
      </c>
      <c r="J70" s="16" t="str">
        <f t="shared" si="11"/>
        <v/>
      </c>
      <c r="K70" s="16" t="str">
        <f t="shared" si="12"/>
        <v/>
      </c>
      <c r="L70" s="16"/>
    </row>
    <row r="71" spans="1:12" ht="14.5" x14ac:dyDescent="0.35">
      <c r="A71" s="16"/>
      <c r="B71" s="16"/>
      <c r="C71" s="16"/>
      <c r="D71" s="16"/>
      <c r="E71" s="22" t="str">
        <f ca="1">IFERROR(__xludf.dummyfunction("iferror(1000+INT(($N$2-(index(split(D71,"":""),1)*60+index(split(D71,"":""),2 )))/0.2+1)*$N$3,"""")"),"")</f>
        <v/>
      </c>
      <c r="F71" s="16" t="str">
        <f t="shared" ca="1" si="9"/>
        <v/>
      </c>
      <c r="G71" s="16"/>
      <c r="H71" s="22" t="str">
        <f ca="1">IFERROR(__xludf.dummyfunction("iferror(1000+INT(($N$4-(index(split(G71,"":""),1)*60+index(split(G71,"":""),2 )))/0.2+1)*$N$5,"""")"),"")</f>
        <v/>
      </c>
      <c r="I71" s="16" t="str">
        <f t="shared" ca="1" si="10"/>
        <v/>
      </c>
      <c r="J71" s="16" t="str">
        <f t="shared" si="11"/>
        <v/>
      </c>
      <c r="K71" s="16" t="str">
        <f t="shared" si="12"/>
        <v/>
      </c>
      <c r="L71" s="16"/>
    </row>
    <row r="72" spans="1:12" ht="14.5" x14ac:dyDescent="0.35">
      <c r="A72" s="16"/>
      <c r="B72" s="16"/>
      <c r="C72" s="16"/>
      <c r="D72" s="16"/>
      <c r="E72" s="22" t="str">
        <f ca="1">IFERROR(__xludf.dummyfunction("iferror(1000+INT(($N$2-(index(split(D72,"":""),1)*60+index(split(D72,"":""),2 )))/0.2+1)*$N$3,"""")"),"")</f>
        <v/>
      </c>
      <c r="F72" s="16" t="str">
        <f t="shared" ca="1" si="9"/>
        <v/>
      </c>
      <c r="G72" s="16"/>
      <c r="H72" s="22" t="str">
        <f ca="1">IFERROR(__xludf.dummyfunction("iferror(1000+INT(($N$4-(index(split(G72,"":""),1)*60+index(split(G72,"":""),2 )))/0.2+1)*$N$5,"""")"),"")</f>
        <v/>
      </c>
      <c r="I72" s="16" t="str">
        <f t="shared" ca="1" si="10"/>
        <v/>
      </c>
      <c r="J72" s="16" t="str">
        <f t="shared" si="11"/>
        <v/>
      </c>
      <c r="K72" s="16" t="str">
        <f t="shared" si="12"/>
        <v/>
      </c>
      <c r="L72" s="16"/>
    </row>
    <row r="73" spans="1:12" ht="14.5" x14ac:dyDescent="0.35">
      <c r="A73" s="16"/>
      <c r="B73" s="16"/>
      <c r="C73" s="16"/>
      <c r="D73" s="16"/>
      <c r="E73" s="22" t="str">
        <f ca="1">IFERROR(__xludf.dummyfunction("iferror(1000+INT(($N$2-(index(split(D73,"":""),1)*60+index(split(D73,"":""),2 )))/0.2+1)*$N$3,"""")"),"")</f>
        <v/>
      </c>
      <c r="F73" s="16" t="str">
        <f t="shared" ca="1" si="9"/>
        <v/>
      </c>
      <c r="G73" s="16"/>
      <c r="H73" s="22" t="str">
        <f ca="1">IFERROR(__xludf.dummyfunction("iferror(1000+INT(($N$4-(index(split(G73,"":""),1)*60+index(split(G73,"":""),2 )))/0.2+1)*$N$5,"""")"),"")</f>
        <v/>
      </c>
      <c r="I73" s="16" t="str">
        <f t="shared" ca="1" si="10"/>
        <v/>
      </c>
      <c r="J73" s="16" t="str">
        <f t="shared" si="11"/>
        <v/>
      </c>
      <c r="K73" s="16" t="str">
        <f t="shared" si="12"/>
        <v/>
      </c>
      <c r="L73" s="16"/>
    </row>
    <row r="74" spans="1:12" ht="14.5" x14ac:dyDescent="0.35">
      <c r="A74" s="16"/>
      <c r="B74" s="16"/>
      <c r="C74" s="16"/>
      <c r="D74" s="16"/>
      <c r="E74" s="22" t="str">
        <f ca="1">IFERROR(__xludf.dummyfunction("iferror(1000+INT(($N$2-(index(split(D74,"":""),1)*60+index(split(D74,"":""),2 )))/0.2+1)*$N$3,"""")"),"")</f>
        <v/>
      </c>
      <c r="F74" s="16" t="str">
        <f t="shared" ca="1" si="9"/>
        <v/>
      </c>
      <c r="G74" s="16"/>
      <c r="H74" s="22" t="str">
        <f ca="1">IFERROR(__xludf.dummyfunction("iferror(1000+INT(($N$4-(index(split(G74,"":""),1)*60+index(split(G74,"":""),2 )))/0.2+1)*$N$5,"""")"),"")</f>
        <v/>
      </c>
      <c r="I74" s="16" t="str">
        <f t="shared" ca="1" si="10"/>
        <v/>
      </c>
      <c r="J74" s="16" t="str">
        <f t="shared" si="11"/>
        <v/>
      </c>
      <c r="K74" s="16" t="str">
        <f t="shared" si="12"/>
        <v/>
      </c>
      <c r="L74" s="16"/>
    </row>
    <row r="75" spans="1:12" ht="14.5" x14ac:dyDescent="0.35">
      <c r="A75" s="16"/>
      <c r="B75" s="16"/>
      <c r="C75" s="16"/>
      <c r="D75" s="16"/>
      <c r="E75" s="22" t="str">
        <f ca="1">IFERROR(__xludf.dummyfunction("iferror(1000+INT(($N$2-(index(split(D75,"":""),1)*60+index(split(D75,"":""),2 )))/0.2+1)*$N$3,"""")"),"")</f>
        <v/>
      </c>
      <c r="F75" s="16" t="str">
        <f t="shared" ca="1" si="9"/>
        <v/>
      </c>
      <c r="G75" s="16"/>
      <c r="H75" s="22" t="str">
        <f ca="1">IFERROR(__xludf.dummyfunction("iferror(1000+INT(($N$4-(index(split(G75,"":""),1)*60+index(split(G75,"":""),2 )))/0.2+1)*$N$5,"""")"),"")</f>
        <v/>
      </c>
      <c r="I75" s="16" t="str">
        <f t="shared" ca="1" si="10"/>
        <v/>
      </c>
      <c r="J75" s="16" t="str">
        <f t="shared" si="11"/>
        <v/>
      </c>
      <c r="K75" s="16" t="str">
        <f t="shared" si="12"/>
        <v/>
      </c>
      <c r="L75" s="16"/>
    </row>
    <row r="76" spans="1:12" ht="14.5" x14ac:dyDescent="0.35">
      <c r="A76" s="16"/>
      <c r="B76" s="16"/>
      <c r="C76" s="16"/>
      <c r="D76" s="16"/>
      <c r="E76" s="22" t="str">
        <f ca="1">IFERROR(__xludf.dummyfunction("iferror(1000+INT(($N$2-(index(split(D76,"":""),1)*60+index(split(D76,"":""),2 )))/0.2+1)*$N$3,"""")"),"")</f>
        <v/>
      </c>
      <c r="F76" s="16" t="str">
        <f t="shared" ca="1" si="9"/>
        <v/>
      </c>
      <c r="G76" s="16"/>
      <c r="H76" s="22" t="str">
        <f ca="1">IFERROR(__xludf.dummyfunction("iferror(1000+INT(($N$4-(index(split(G76,"":""),1)*60+index(split(G76,"":""),2 )))/0.2+1)*$N$5,"""")"),"")</f>
        <v/>
      </c>
      <c r="I76" s="16" t="str">
        <f t="shared" ca="1" si="10"/>
        <v/>
      </c>
      <c r="J76" s="16" t="str">
        <f t="shared" si="11"/>
        <v/>
      </c>
      <c r="K76" s="16" t="str">
        <f t="shared" si="12"/>
        <v/>
      </c>
      <c r="L76" s="16"/>
    </row>
    <row r="77" spans="1:12" ht="14.5" x14ac:dyDescent="0.35">
      <c r="A77" s="16"/>
      <c r="B77" s="16"/>
      <c r="C77" s="16"/>
      <c r="D77" s="16"/>
      <c r="E77" s="22" t="str">
        <f ca="1">IFERROR(__xludf.dummyfunction("iferror(1000+INT(($N$2-(index(split(D77,"":""),1)*60+index(split(D77,"":""),2 )))/0.2+1)*$N$3,"""")"),"")</f>
        <v/>
      </c>
      <c r="F77" s="16" t="str">
        <f t="shared" ca="1" si="9"/>
        <v/>
      </c>
      <c r="G77" s="16"/>
      <c r="H77" s="22" t="str">
        <f ca="1">IFERROR(__xludf.dummyfunction("iferror(1000+INT(($N$4-(index(split(G77,"":""),1)*60+index(split(G77,"":""),2 )))/0.2+1)*$N$5,"""")"),"")</f>
        <v/>
      </c>
      <c r="I77" s="16" t="str">
        <f t="shared" ca="1" si="10"/>
        <v/>
      </c>
      <c r="J77" s="16" t="str">
        <f t="shared" si="11"/>
        <v/>
      </c>
      <c r="K77" s="16" t="str">
        <f t="shared" si="12"/>
        <v/>
      </c>
      <c r="L77" s="16"/>
    </row>
    <row r="78" spans="1:12" ht="14.5" x14ac:dyDescent="0.35">
      <c r="A78" s="16"/>
      <c r="B78" s="16"/>
      <c r="C78" s="16"/>
      <c r="D78" s="16"/>
      <c r="E78" s="22" t="str">
        <f ca="1">IFERROR(__xludf.dummyfunction("iferror(1000+INT(($N$2-(index(split(D78,"":""),1)*60+index(split(D78,"":""),2 )))/0.2+1)*$N$3,"""")"),"")</f>
        <v/>
      </c>
      <c r="F78" s="16" t="str">
        <f t="shared" ca="1" si="9"/>
        <v/>
      </c>
      <c r="G78" s="16"/>
      <c r="H78" s="22" t="str">
        <f ca="1">IFERROR(__xludf.dummyfunction("iferror(1000+INT(($N$4-(index(split(G78,"":""),1)*60+index(split(G78,"":""),2 )))/0.2+1)*$N$5,"""")"),"")</f>
        <v/>
      </c>
      <c r="I78" s="16" t="str">
        <f t="shared" ca="1" si="10"/>
        <v/>
      </c>
      <c r="J78" s="16" t="str">
        <f t="shared" si="11"/>
        <v/>
      </c>
      <c r="K78" s="16" t="str">
        <f t="shared" si="12"/>
        <v/>
      </c>
      <c r="L78" s="16"/>
    </row>
    <row r="79" spans="1:12" ht="14.5" x14ac:dyDescent="0.35">
      <c r="A79" s="16"/>
      <c r="B79" s="16"/>
      <c r="C79" s="16"/>
      <c r="D79" s="16"/>
      <c r="E79" s="22" t="str">
        <f ca="1">IFERROR(__xludf.dummyfunction("iferror(1000+INT(($N$2-(index(split(D79,"":""),1)*60+index(split(D79,"":""),2 )))/0.2+1)*$N$3,"""")"),"")</f>
        <v/>
      </c>
      <c r="F79" s="16" t="str">
        <f t="shared" ca="1" si="9"/>
        <v/>
      </c>
      <c r="G79" s="16"/>
      <c r="H79" s="22" t="str">
        <f ca="1">IFERROR(__xludf.dummyfunction("iferror(1000+INT(($N$4-(index(split(G79,"":""),1)*60+index(split(G79,"":""),2 )))/0.2+1)*$N$5,"""")"),"")</f>
        <v/>
      </c>
      <c r="I79" s="16" t="str">
        <f t="shared" ca="1" si="10"/>
        <v/>
      </c>
      <c r="J79" s="16" t="str">
        <f t="shared" si="11"/>
        <v/>
      </c>
      <c r="K79" s="16" t="str">
        <f t="shared" si="12"/>
        <v/>
      </c>
      <c r="L79" s="16"/>
    </row>
    <row r="80" spans="1:12" ht="14.5" x14ac:dyDescent="0.35">
      <c r="A80" s="16"/>
      <c r="B80" s="16"/>
      <c r="C80" s="16"/>
      <c r="D80" s="16"/>
      <c r="E80" s="22" t="str">
        <f ca="1">IFERROR(__xludf.dummyfunction("iferror(1000+INT(($N$2-(index(split(D80,"":""),1)*60+index(split(D80,"":""),2 )))/0.2+1)*$N$3,"""")"),"")</f>
        <v/>
      </c>
      <c r="F80" s="16" t="str">
        <f t="shared" ca="1" si="9"/>
        <v/>
      </c>
      <c r="G80" s="16"/>
      <c r="H80" s="22" t="str">
        <f ca="1">IFERROR(__xludf.dummyfunction("iferror(1000+INT(($N$4-(index(split(G80,"":""),1)*60+index(split(G80,"":""),2 )))/0.2+1)*$N$5,"""")"),"")</f>
        <v/>
      </c>
      <c r="I80" s="16" t="str">
        <f t="shared" ca="1" si="10"/>
        <v/>
      </c>
      <c r="J80" s="16" t="str">
        <f t="shared" si="11"/>
        <v/>
      </c>
      <c r="K80" s="16" t="str">
        <f t="shared" si="12"/>
        <v/>
      </c>
      <c r="L80" s="16"/>
    </row>
    <row r="81" spans="1:12" ht="14.5" x14ac:dyDescent="0.35">
      <c r="A81" s="16"/>
      <c r="B81" s="16"/>
      <c r="C81" s="16"/>
      <c r="D81" s="16"/>
      <c r="E81" s="22" t="str">
        <f ca="1">IFERROR(__xludf.dummyfunction("iferror(1000+INT(($N$2-(index(split(D81,"":""),1)*60+index(split(D81,"":""),2 )))/0.2+1)*$N$3,"""")"),"")</f>
        <v/>
      </c>
      <c r="F81" s="16" t="str">
        <f t="shared" ca="1" si="9"/>
        <v/>
      </c>
      <c r="G81" s="16"/>
      <c r="H81" s="22" t="str">
        <f ca="1">IFERROR(__xludf.dummyfunction("iferror(1000+INT(($N$4-(index(split(G81,"":""),1)*60+index(split(G81,"":""),2 )))/0.2+1)*$N$5,"""")"),"")</f>
        <v/>
      </c>
      <c r="I81" s="16" t="str">
        <f t="shared" ca="1" si="10"/>
        <v/>
      </c>
      <c r="J81" s="16" t="str">
        <f t="shared" si="11"/>
        <v/>
      </c>
      <c r="K81" s="16" t="str">
        <f t="shared" si="12"/>
        <v/>
      </c>
      <c r="L81" s="16"/>
    </row>
    <row r="82" spans="1:12" ht="14.5" x14ac:dyDescent="0.35">
      <c r="A82" s="16"/>
      <c r="B82" s="16"/>
      <c r="C82" s="16"/>
      <c r="D82" s="16"/>
      <c r="E82" s="22" t="str">
        <f ca="1">IFERROR(__xludf.dummyfunction("iferror(1000+INT(($N$2-(index(split(D82,"":""),1)*60+index(split(D82,"":""),2 )))/0.2+1)*$N$3,"""")"),"")</f>
        <v/>
      </c>
      <c r="F82" s="16" t="str">
        <f t="shared" ca="1" si="9"/>
        <v/>
      </c>
      <c r="G82" s="16"/>
      <c r="H82" s="22" t="str">
        <f ca="1">IFERROR(__xludf.dummyfunction("iferror(1000+INT(($N$4-(index(split(G82,"":""),1)*60+index(split(G82,"":""),2 )))/0.2+1)*$N$5,"""")"),"")</f>
        <v/>
      </c>
      <c r="I82" s="16" t="str">
        <f t="shared" ca="1" si="10"/>
        <v/>
      </c>
      <c r="J82" s="16" t="str">
        <f t="shared" si="11"/>
        <v/>
      </c>
      <c r="K82" s="16" t="str">
        <f t="shared" si="12"/>
        <v/>
      </c>
      <c r="L82" s="16"/>
    </row>
    <row r="83" spans="1:12" ht="14.5" x14ac:dyDescent="0.35">
      <c r="A83" s="16"/>
      <c r="B83" s="16"/>
      <c r="C83" s="16"/>
      <c r="D83" s="16"/>
      <c r="E83" s="22" t="str">
        <f ca="1">IFERROR(__xludf.dummyfunction("iferror(1000+INT(($N$2-(index(split(D83,"":""),1)*60+index(split(D83,"":""),2 )))/0.2+1)*$N$3,"""")"),"")</f>
        <v/>
      </c>
      <c r="F83" s="16" t="str">
        <f t="shared" ca="1" si="9"/>
        <v/>
      </c>
      <c r="G83" s="16"/>
      <c r="H83" s="22" t="str">
        <f ca="1">IFERROR(__xludf.dummyfunction("iferror(1000+INT(($N$4-(index(split(G83,"":""),1)*60+index(split(G83,"":""),2 )))/0.2+1)*$N$5,"""")"),"")</f>
        <v/>
      </c>
      <c r="I83" s="16" t="str">
        <f t="shared" ca="1" si="10"/>
        <v/>
      </c>
      <c r="J83" s="16" t="str">
        <f t="shared" si="11"/>
        <v/>
      </c>
      <c r="K83" s="16" t="str">
        <f t="shared" si="12"/>
        <v/>
      </c>
      <c r="L83" s="16"/>
    </row>
    <row r="84" spans="1:12" ht="14.5" x14ac:dyDescent="0.35">
      <c r="A84" s="16"/>
      <c r="B84" s="16"/>
      <c r="C84" s="16"/>
      <c r="D84" s="16"/>
      <c r="E84" s="22" t="str">
        <f ca="1">IFERROR(__xludf.dummyfunction("iferror(1000+INT(($N$2-(index(split(D84,"":""),1)*60+index(split(D84,"":""),2 )))/0.2+1)*$N$3,"""")"),"")</f>
        <v/>
      </c>
      <c r="F84" s="16" t="str">
        <f t="shared" ca="1" si="9"/>
        <v/>
      </c>
      <c r="G84" s="16"/>
      <c r="H84" s="22" t="str">
        <f ca="1">IFERROR(__xludf.dummyfunction("iferror(1000+INT(($N$4-(index(split(G84,"":""),1)*60+index(split(G84,"":""),2 )))/0.2+1)*$N$5,"""")"),"")</f>
        <v/>
      </c>
      <c r="I84" s="16" t="str">
        <f t="shared" ca="1" si="10"/>
        <v/>
      </c>
      <c r="J84" s="16" t="str">
        <f t="shared" si="11"/>
        <v/>
      </c>
      <c r="K84" s="16" t="str">
        <f t="shared" si="12"/>
        <v/>
      </c>
      <c r="L84" s="16"/>
    </row>
    <row r="85" spans="1:12" ht="14.5" x14ac:dyDescent="0.35">
      <c r="A85" s="16"/>
      <c r="B85" s="16"/>
      <c r="C85" s="16"/>
      <c r="D85" s="16"/>
      <c r="E85" s="22" t="str">
        <f ca="1">IFERROR(__xludf.dummyfunction("iferror(1000+INT(($N$2-(index(split(D85,"":""),1)*60+index(split(D85,"":""),2 )))/0.2+1)*$N$3,"""")"),"")</f>
        <v/>
      </c>
      <c r="F85" s="16" t="str">
        <f t="shared" ca="1" si="9"/>
        <v/>
      </c>
      <c r="G85" s="16"/>
      <c r="H85" s="22" t="str">
        <f ca="1">IFERROR(__xludf.dummyfunction("iferror(1000+INT(($N$4-(index(split(G85,"":""),1)*60+index(split(G85,"":""),2 )))/0.2+1)*$N$5,"""")"),"")</f>
        <v/>
      </c>
      <c r="I85" s="16" t="str">
        <f t="shared" ca="1" si="10"/>
        <v/>
      </c>
      <c r="J85" s="16" t="str">
        <f t="shared" si="11"/>
        <v/>
      </c>
      <c r="K85" s="16" t="str">
        <f t="shared" si="12"/>
        <v/>
      </c>
      <c r="L85" s="16"/>
    </row>
    <row r="86" spans="1:12" ht="14.5" x14ac:dyDescent="0.35">
      <c r="A86" s="16"/>
      <c r="B86" s="16"/>
      <c r="C86" s="16"/>
      <c r="D86" s="16"/>
      <c r="E86" s="22" t="str">
        <f ca="1">IFERROR(__xludf.dummyfunction("iferror(1000+INT(($N$2-(index(split(D86,"":""),1)*60+index(split(D86,"":""),2 )))/0.2+1)*$N$3,"""")"),"")</f>
        <v/>
      </c>
      <c r="F86" s="16" t="str">
        <f t="shared" ca="1" si="9"/>
        <v/>
      </c>
      <c r="G86" s="16"/>
      <c r="H86" s="22" t="str">
        <f ca="1">IFERROR(__xludf.dummyfunction("iferror(1000+INT(($N$4-(index(split(G86,"":""),1)*60+index(split(G86,"":""),2 )))/0.2+1)*$N$5,"""")"),"")</f>
        <v/>
      </c>
      <c r="I86" s="16" t="str">
        <f t="shared" ca="1" si="10"/>
        <v/>
      </c>
      <c r="J86" s="16" t="str">
        <f t="shared" si="11"/>
        <v/>
      </c>
      <c r="K86" s="16" t="str">
        <f t="shared" si="12"/>
        <v/>
      </c>
      <c r="L86" s="16"/>
    </row>
    <row r="87" spans="1:12" ht="14.5" x14ac:dyDescent="0.35">
      <c r="A87" s="16"/>
      <c r="B87" s="16"/>
      <c r="C87" s="16"/>
      <c r="D87" s="16"/>
      <c r="E87" s="22" t="str">
        <f ca="1">IFERROR(__xludf.dummyfunction("iferror(1000+INT(($N$2-(index(split(D87,"":""),1)*60+index(split(D87,"":""),2 )))/0.2+1)*$N$3,"""")"),"")</f>
        <v/>
      </c>
      <c r="F87" s="16" t="str">
        <f t="shared" ca="1" si="9"/>
        <v/>
      </c>
      <c r="G87" s="16"/>
      <c r="H87" s="22" t="str">
        <f ca="1">IFERROR(__xludf.dummyfunction("iferror(1000+INT(($N$4-(index(split(G87,"":""),1)*60+index(split(G87,"":""),2 )))/0.2+1)*$N$5,"""")"),"")</f>
        <v/>
      </c>
      <c r="I87" s="16" t="str">
        <f t="shared" ca="1" si="10"/>
        <v/>
      </c>
      <c r="J87" s="16" t="str">
        <f t="shared" si="11"/>
        <v/>
      </c>
      <c r="K87" s="16" t="str">
        <f t="shared" si="12"/>
        <v/>
      </c>
      <c r="L87" s="16"/>
    </row>
    <row r="88" spans="1:12" ht="14.5" x14ac:dyDescent="0.35">
      <c r="A88" s="16"/>
      <c r="B88" s="16"/>
      <c r="C88" s="16"/>
      <c r="D88" s="16"/>
      <c r="E88" s="22" t="str">
        <f ca="1">IFERROR(__xludf.dummyfunction("iferror(1000+INT(($N$2-(index(split(D88,"":""),1)*60+index(split(D88,"":""),2 )))/0.2+1)*$N$3,"""")"),"")</f>
        <v/>
      </c>
      <c r="F88" s="16" t="str">
        <f t="shared" ca="1" si="9"/>
        <v/>
      </c>
      <c r="G88" s="16"/>
      <c r="H88" s="22" t="str">
        <f ca="1">IFERROR(__xludf.dummyfunction("iferror(1000+INT(($N$4-(index(split(G88,"":""),1)*60+index(split(G88,"":""),2 )))/0.2+1)*$N$5,"""")"),"")</f>
        <v/>
      </c>
      <c r="I88" s="16" t="str">
        <f t="shared" ca="1" si="10"/>
        <v/>
      </c>
      <c r="J88" s="16" t="str">
        <f t="shared" si="11"/>
        <v/>
      </c>
      <c r="K88" s="16" t="str">
        <f t="shared" si="12"/>
        <v/>
      </c>
      <c r="L88" s="16"/>
    </row>
    <row r="89" spans="1:12" ht="14.5" x14ac:dyDescent="0.35">
      <c r="A89" s="16"/>
      <c r="B89" s="16"/>
      <c r="C89" s="16"/>
      <c r="D89" s="16"/>
      <c r="E89" s="22" t="str">
        <f ca="1">IFERROR(__xludf.dummyfunction("iferror(1000+INT(($N$2-(index(split(D89,"":""),1)*60+index(split(D89,"":""),2 )))/0.2+1)*$N$3,"""")"),"")</f>
        <v/>
      </c>
      <c r="F89" s="16" t="str">
        <f t="shared" ca="1" si="9"/>
        <v/>
      </c>
      <c r="G89" s="16"/>
      <c r="H89" s="22" t="str">
        <f ca="1">IFERROR(__xludf.dummyfunction("iferror(1000+INT(($N$4-(index(split(G89,"":""),1)*60+index(split(G89,"":""),2 )))/0.2+1)*$N$5,"""")"),"")</f>
        <v/>
      </c>
      <c r="I89" s="16" t="str">
        <f t="shared" ca="1" si="10"/>
        <v/>
      </c>
      <c r="J89" s="16" t="str">
        <f t="shared" si="11"/>
        <v/>
      </c>
      <c r="K89" s="16" t="str">
        <f t="shared" si="12"/>
        <v/>
      </c>
      <c r="L89" s="16"/>
    </row>
    <row r="90" spans="1:12" ht="14.5" x14ac:dyDescent="0.35">
      <c r="A90" s="16"/>
      <c r="B90" s="16"/>
      <c r="C90" s="16"/>
      <c r="D90" s="16"/>
      <c r="E90" s="22" t="str">
        <f ca="1">IFERROR(__xludf.dummyfunction("iferror(1000+INT(($N$2-(index(split(D90,"":""),1)*60+index(split(D90,"":""),2 )))/0.2+1)*$N$3,"""")"),"")</f>
        <v/>
      </c>
      <c r="F90" s="16" t="str">
        <f t="shared" ca="1" si="9"/>
        <v/>
      </c>
      <c r="G90" s="16"/>
      <c r="H90" s="22" t="str">
        <f ca="1">IFERROR(__xludf.dummyfunction("iferror(1000+INT(($N$4-(index(split(G90,"":""),1)*60+index(split(G90,"":""),2 )))/0.2+1)*$N$5,"""")"),"")</f>
        <v/>
      </c>
      <c r="I90" s="16" t="str">
        <f t="shared" ca="1" si="10"/>
        <v/>
      </c>
      <c r="J90" s="16" t="str">
        <f t="shared" si="11"/>
        <v/>
      </c>
      <c r="K90" s="16" t="str">
        <f t="shared" si="12"/>
        <v/>
      </c>
      <c r="L90" s="16"/>
    </row>
    <row r="91" spans="1:12" ht="14.5" x14ac:dyDescent="0.35">
      <c r="A91" s="16"/>
      <c r="B91" s="16"/>
      <c r="C91" s="16"/>
      <c r="D91" s="16"/>
      <c r="E91" s="22" t="str">
        <f ca="1">IFERROR(__xludf.dummyfunction("iferror(1000+INT(($N$2-(index(split(D91,"":""),1)*60+index(split(D91,"":""),2 )))/0.2+1)*$N$3,"""")"),"")</f>
        <v/>
      </c>
      <c r="F91" s="16" t="str">
        <f t="shared" ca="1" si="9"/>
        <v/>
      </c>
      <c r="G91" s="16"/>
      <c r="H91" s="22" t="str">
        <f ca="1">IFERROR(__xludf.dummyfunction("iferror(1000+INT(($N$4-(index(split(G91,"":""),1)*60+index(split(G91,"":""),2 )))/0.2+1)*$N$5,"""")"),"")</f>
        <v/>
      </c>
      <c r="I91" s="16" t="str">
        <f t="shared" ca="1" si="10"/>
        <v/>
      </c>
      <c r="J91" s="16" t="str">
        <f t="shared" si="11"/>
        <v/>
      </c>
      <c r="K91" s="16" t="str">
        <f t="shared" si="12"/>
        <v/>
      </c>
      <c r="L91" s="16"/>
    </row>
    <row r="92" spans="1:12" ht="14.5" x14ac:dyDescent="0.35">
      <c r="A92" s="16"/>
      <c r="B92" s="16"/>
      <c r="C92" s="16"/>
      <c r="D92" s="16"/>
      <c r="E92" s="22" t="str">
        <f ca="1">IFERROR(__xludf.dummyfunction("iferror(1000+INT(($N$2-(index(split(D92,"":""),1)*60+index(split(D92,"":""),2 )))/0.2+1)*$N$3,"""")"),"")</f>
        <v/>
      </c>
      <c r="F92" s="16" t="str">
        <f t="shared" ca="1" si="9"/>
        <v/>
      </c>
      <c r="G92" s="16"/>
      <c r="H92" s="22" t="str">
        <f ca="1">IFERROR(__xludf.dummyfunction("iferror(1000+INT(($N$4-(index(split(G92,"":""),1)*60+index(split(G92,"":""),2 )))/0.2+1)*$N$5,"""")"),"")</f>
        <v/>
      </c>
      <c r="I92" s="16" t="str">
        <f t="shared" ca="1" si="10"/>
        <v/>
      </c>
      <c r="J92" s="16" t="str">
        <f t="shared" si="11"/>
        <v/>
      </c>
      <c r="K92" s="16" t="str">
        <f t="shared" si="12"/>
        <v/>
      </c>
      <c r="L92" s="16"/>
    </row>
    <row r="93" spans="1:12" ht="14.5" x14ac:dyDescent="0.35">
      <c r="A93" s="16"/>
      <c r="B93" s="16"/>
      <c r="C93" s="16"/>
      <c r="D93" s="16"/>
      <c r="E93" s="22" t="str">
        <f ca="1">IFERROR(__xludf.dummyfunction("iferror(1000+INT(($N$2-(index(split(D93,"":""),1)*60+index(split(D93,"":""),2 )))/0.2+1)*$N$3,"""")"),"")</f>
        <v/>
      </c>
      <c r="F93" s="16" t="str">
        <f t="shared" ca="1" si="9"/>
        <v/>
      </c>
      <c r="G93" s="16"/>
      <c r="H93" s="22" t="str">
        <f ca="1">IFERROR(__xludf.dummyfunction("iferror(1000+INT(($N$4-(index(split(G93,"":""),1)*60+index(split(G93,"":""),2 )))/0.2+1)*$N$5,"""")"),"")</f>
        <v/>
      </c>
      <c r="I93" s="16" t="str">
        <f t="shared" ca="1" si="10"/>
        <v/>
      </c>
      <c r="J93" s="16" t="str">
        <f t="shared" si="11"/>
        <v/>
      </c>
      <c r="K93" s="16" t="str">
        <f t="shared" si="12"/>
        <v/>
      </c>
      <c r="L93" s="16"/>
    </row>
    <row r="94" spans="1:12" ht="14.5" x14ac:dyDescent="0.35">
      <c r="A94" s="16"/>
      <c r="B94" s="16"/>
      <c r="C94" s="16"/>
      <c r="D94" s="16"/>
      <c r="E94" s="22" t="str">
        <f ca="1">IFERROR(__xludf.dummyfunction("iferror(1000+INT(($N$2-(index(split(D94,"":""),1)*60+index(split(D94,"":""),2 )))/0.2+1)*$N$3,"""")"),"")</f>
        <v/>
      </c>
      <c r="F94" s="16" t="str">
        <f t="shared" ca="1" si="9"/>
        <v/>
      </c>
      <c r="G94" s="16"/>
      <c r="H94" s="22" t="str">
        <f ca="1">IFERROR(__xludf.dummyfunction("iferror(1000+INT(($N$4-(index(split(G94,"":""),1)*60+index(split(G94,"":""),2 )))/0.2+1)*$N$5,"""")"),"")</f>
        <v/>
      </c>
      <c r="I94" s="16" t="str">
        <f t="shared" ca="1" si="10"/>
        <v/>
      </c>
      <c r="J94" s="16" t="str">
        <f t="shared" si="11"/>
        <v/>
      </c>
      <c r="K94" s="16" t="str">
        <f t="shared" si="12"/>
        <v/>
      </c>
      <c r="L94" s="16"/>
    </row>
    <row r="95" spans="1:12" ht="14.5" x14ac:dyDescent="0.35">
      <c r="A95" s="16"/>
      <c r="B95" s="16"/>
      <c r="C95" s="16"/>
      <c r="D95" s="16"/>
      <c r="E95" s="22" t="str">
        <f ca="1">IFERROR(__xludf.dummyfunction("iferror(1000+INT(($N$2-(index(split(D95,"":""),1)*60+index(split(D95,"":""),2 )))/0.2+1)*$N$3,"""")"),"")</f>
        <v/>
      </c>
      <c r="F95" s="16" t="str">
        <f t="shared" ca="1" si="9"/>
        <v/>
      </c>
      <c r="G95" s="16"/>
      <c r="H95" s="22" t="str">
        <f ca="1">IFERROR(__xludf.dummyfunction("iferror(1000+INT(($N$4-(index(split(G95,"":""),1)*60+index(split(G95,"":""),2 )))/0.2+1)*$N$5,"""")"),"")</f>
        <v/>
      </c>
      <c r="I95" s="16" t="str">
        <f t="shared" ca="1" si="10"/>
        <v/>
      </c>
      <c r="J95" s="16" t="str">
        <f t="shared" si="11"/>
        <v/>
      </c>
      <c r="K95" s="16" t="str">
        <f t="shared" si="12"/>
        <v/>
      </c>
      <c r="L95" s="16"/>
    </row>
    <row r="96" spans="1:12" ht="14.5" x14ac:dyDescent="0.35">
      <c r="A96" s="16"/>
      <c r="B96" s="16"/>
      <c r="C96" s="16"/>
      <c r="D96" s="16"/>
      <c r="E96" s="22" t="str">
        <f ca="1">IFERROR(__xludf.dummyfunction("iferror(1000+INT(($N$2-(index(split(D96,"":""),1)*60+index(split(D96,"":""),2 )))/0.2+1)*$N$3,"""")"),"")</f>
        <v/>
      </c>
      <c r="F96" s="16" t="str">
        <f t="shared" ca="1" si="9"/>
        <v/>
      </c>
      <c r="G96" s="16"/>
      <c r="H96" s="22" t="str">
        <f ca="1">IFERROR(__xludf.dummyfunction("iferror(1000+INT(($N$4-(index(split(G96,"":""),1)*60+index(split(G96,"":""),2 )))/0.2+1)*$N$5,"""")"),"")</f>
        <v/>
      </c>
      <c r="I96" s="16" t="str">
        <f t="shared" ca="1" si="10"/>
        <v/>
      </c>
      <c r="J96" s="16" t="str">
        <f t="shared" si="11"/>
        <v/>
      </c>
      <c r="K96" s="16" t="str">
        <f t="shared" si="12"/>
        <v/>
      </c>
      <c r="L96" s="16"/>
    </row>
    <row r="97" spans="1:12" ht="14.5" x14ac:dyDescent="0.35">
      <c r="A97" s="16"/>
      <c r="B97" s="16"/>
      <c r="C97" s="16"/>
      <c r="D97" s="16"/>
      <c r="E97" s="22" t="str">
        <f ca="1">IFERROR(__xludf.dummyfunction("iferror(1000+INT(($N$2-(index(split(D97,"":""),1)*60+index(split(D97,"":""),2 )))/0.2+1)*$N$3,"""")"),"")</f>
        <v/>
      </c>
      <c r="F97" s="16" t="str">
        <f t="shared" ca="1" si="9"/>
        <v/>
      </c>
      <c r="G97" s="16"/>
      <c r="H97" s="22" t="str">
        <f ca="1">IFERROR(__xludf.dummyfunction("iferror(1000+INT(($N$4-(index(split(G97,"":""),1)*60+index(split(G97,"":""),2 )))/0.2+1)*$N$5,"""")"),"")</f>
        <v/>
      </c>
      <c r="I97" s="16" t="str">
        <f t="shared" ca="1" si="10"/>
        <v/>
      </c>
      <c r="J97" s="16" t="str">
        <f t="shared" si="11"/>
        <v/>
      </c>
      <c r="K97" s="16" t="str">
        <f t="shared" si="12"/>
        <v/>
      </c>
      <c r="L97" s="16"/>
    </row>
    <row r="98" spans="1:12" ht="14.5" x14ac:dyDescent="0.35">
      <c r="A98" s="16"/>
      <c r="B98" s="16"/>
      <c r="C98" s="16"/>
      <c r="D98" s="16"/>
      <c r="E98" s="22" t="str">
        <f ca="1">IFERROR(__xludf.dummyfunction("iferror(1000+INT(($N$2-(index(split(D98,"":""),1)*60+index(split(D98,"":""),2 )))/0.2+1)*$N$3,"""")"),"")</f>
        <v/>
      </c>
      <c r="F98" s="16" t="str">
        <f t="shared" ref="F98:F129" ca="1" si="13">IFERROR(_xlfn.RANK.EQ(E98,E:E),"")</f>
        <v/>
      </c>
      <c r="G98" s="16"/>
      <c r="H98" s="22" t="str">
        <f ca="1">IFERROR(__xludf.dummyfunction("iferror(1000+INT(($N$4-(index(split(G98,"":""),1)*60+index(split(G98,"":""),2 )))/0.2+1)*$N$5,"""")"),"")</f>
        <v/>
      </c>
      <c r="I98" s="16" t="str">
        <f t="shared" ref="I98:I129" ca="1" si="14">IFERROR(_xlfn.RANK.EQ(H98,H:H),"")</f>
        <v/>
      </c>
      <c r="J98" s="16" t="str">
        <f t="shared" si="11"/>
        <v/>
      </c>
      <c r="K98" s="16" t="str">
        <f t="shared" ref="K98:K129" si="15">IFERROR(_xlfn.RANK.EQ(J98,J:J),"")</f>
        <v/>
      </c>
      <c r="L98" s="16"/>
    </row>
    <row r="99" spans="1:12" ht="14.5" x14ac:dyDescent="0.35">
      <c r="A99" s="16"/>
      <c r="B99" s="16"/>
      <c r="C99" s="16"/>
      <c r="D99" s="16"/>
      <c r="E99" s="22" t="str">
        <f ca="1">IFERROR(__xludf.dummyfunction("iferror(1000+INT(($N$2-(index(split(D99,"":""),1)*60+index(split(D99,"":""),2 )))/0.2+1)*$N$3,"""")"),"")</f>
        <v/>
      </c>
      <c r="F99" s="16" t="str">
        <f t="shared" ca="1" si="13"/>
        <v/>
      </c>
      <c r="G99" s="16"/>
      <c r="H99" s="22" t="str">
        <f ca="1">IFERROR(__xludf.dummyfunction("iferror(1000+INT(($N$4-(index(split(G99,"":""),1)*60+index(split(G99,"":""),2 )))/0.2+1)*$N$5,"""")"),"")</f>
        <v/>
      </c>
      <c r="I99" s="16" t="str">
        <f t="shared" ca="1" si="14"/>
        <v/>
      </c>
      <c r="J99" s="16" t="str">
        <f t="shared" si="11"/>
        <v/>
      </c>
      <c r="K99" s="16" t="str">
        <f t="shared" si="15"/>
        <v/>
      </c>
      <c r="L99" s="16"/>
    </row>
    <row r="100" spans="1:12" ht="14.5" x14ac:dyDescent="0.35">
      <c r="A100" s="16"/>
      <c r="B100" s="16"/>
      <c r="C100" s="16"/>
      <c r="D100" s="16"/>
      <c r="E100" s="22" t="str">
        <f ca="1">IFERROR(__xludf.dummyfunction("iferror(1000+INT(($N$2-(index(split(D100,"":""),1)*60+index(split(D100,"":""),2 )))/0.2+1)*$N$3,"""")"),"")</f>
        <v/>
      </c>
      <c r="F100" s="16" t="str">
        <f t="shared" ca="1" si="13"/>
        <v/>
      </c>
      <c r="G100" s="16"/>
      <c r="H100" s="22" t="str">
        <f ca="1">IFERROR(__xludf.dummyfunction("iferror(1000+INT(($N$4-(index(split(G100,"":""),1)*60+index(split(G100,"":""),2 )))/0.2+1)*$N$5,"""")"),"")</f>
        <v/>
      </c>
      <c r="I100" s="16" t="str">
        <f t="shared" ca="1" si="14"/>
        <v/>
      </c>
      <c r="J100" s="16" t="str">
        <f t="shared" si="11"/>
        <v/>
      </c>
      <c r="K100" s="16" t="str">
        <f t="shared" si="15"/>
        <v/>
      </c>
      <c r="L100" s="16"/>
    </row>
    <row r="101" spans="1:12" ht="14.5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4.5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4.5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4.5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4.5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4.5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4.5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4.5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4.5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4.5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4.5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4.5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4.5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4.5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4.5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4.5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4.5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4.5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4.5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4.5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4.5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4.5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4.5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4.5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4.5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4.5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4.5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4.5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4.5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4.5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4.5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4.5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4.5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4.5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4.5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4.5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4.5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4.5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4.5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4.5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4.5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4.5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4.5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4.5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4.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4.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4.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4.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4.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4.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4.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4.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4.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4.5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4.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4.5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4.5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4.5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4.5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4.5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4.5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4.5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ht="14.5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4.5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ht="14.5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ht="14.5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4.5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4.5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5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4.5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4.5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4.5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4.5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4.5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4.5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4.5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4.5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4.5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4.5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4.5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4.5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4.5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4.5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4.5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4.5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4.5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4.5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4.5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4.5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4.5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4.5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4.5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4.5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4.5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4.5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4.5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4.5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4.5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4.5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4.5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4.5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4.5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4.5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4.5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4.5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4.5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4.5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4.5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4.5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4.5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4.5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4.5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4.5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4.5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4.5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4.5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4.5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4.5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4.5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4.5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4.5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4.5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4.5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4.5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4.5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4.5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4.5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4.5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4.5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4.5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4.5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4.5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4.5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5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4.5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4.5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4.5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4.5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4.5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4.5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4.5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4.5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4.5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4.5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4.5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4.5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4.5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4.5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4.5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4.5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4.5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4.5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4.5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4.5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4.5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4.5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4.5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4.5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4.5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4.5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4.5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4.5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4.5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4.5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4.5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4.5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4.5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4.5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4.5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4.5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4.5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4.5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4.5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4.5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4.5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4.5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4.5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4.5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4.5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4.5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4.5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4.5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4.5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4.5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4.5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4.5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4.5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4.5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4.5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4.5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4.5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4.5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4.5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4.5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4.5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4.5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4.5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4.5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4.5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4.5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4.5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4.5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4.5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4.5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4.5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4.5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4.5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4.5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4.5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4.5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4.5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4.5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4.5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4.5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4.5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4.5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4.5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4.5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4.5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4.5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4.5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4.5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4.5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4.5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4.5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4.5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4.5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4.5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4.5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4.5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4.5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4.5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4.5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4.5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4.5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4.5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4.5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4.5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4.5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4.5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4.5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4.5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4.5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4.5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4.5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4.5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4.5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4.5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4.5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4.5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4.5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4.5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4.5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4.5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4.5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4.5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4.5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4.5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4.5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4.5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4.5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4.5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4.5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4.5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4.5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4.5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4.5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4.5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4.5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4.5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4.5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4.5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4.5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4.5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4.5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4.5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4.5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4.5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4.5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ht="14.5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ht="14.5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ht="14.5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ht="14.5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ht="14.5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ht="14.5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ht="14.5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ht="14.5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ht="14.5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ht="14.5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ht="14.5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ht="14.5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ht="14.5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ht="14.5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ht="14.5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ht="14.5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ht="14.5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ht="14.5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ht="14.5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ht="14.5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ht="14.5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ht="14.5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ht="14.5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ht="14.5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ht="14.5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ht="14.5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ht="14.5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ht="14.5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ht="14.5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ht="14.5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ht="14.5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ht="14.5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ht="14.5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ht="14.5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ht="14.5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ht="14.5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ht="14.5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ht="14.5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ht="14.5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ht="14.5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ht="14.5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ht="14.5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ht="14.5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ht="14.5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ht="14.5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ht="14.5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ht="14.5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ht="14.5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ht="14.5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ht="14.5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ht="14.5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ht="14.5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ht="14.5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ht="14.5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ht="14.5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ht="14.5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ht="14.5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ht="14.5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 ht="14.5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 ht="14.5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 ht="14.5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 ht="14.5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 ht="14.5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 ht="14.5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 ht="14.5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 ht="14.5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 ht="14.5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 ht="14.5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 ht="14.5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 ht="14.5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 ht="14.5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 ht="14.5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 ht="14.5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 ht="14.5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 ht="14.5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 ht="14.5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 ht="14.5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 ht="14.5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 ht="14.5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 ht="14.5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 ht="14.5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 ht="14.5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 ht="14.5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 ht="14.5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 ht="14.5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 ht="14.5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 ht="14.5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 ht="14.5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 ht="14.5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 ht="14.5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 ht="14.5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 ht="14.5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 ht="14.5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 ht="14.5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 ht="14.5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 ht="14.5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 ht="14.5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 ht="14.5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 ht="14.5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 ht="14.5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 ht="14.5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 ht="14.5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 ht="14.5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 ht="14.5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 ht="14.5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 ht="14.5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 ht="14.5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 ht="14.5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 ht="14.5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 ht="14.5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 ht="14.5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 ht="14.5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 ht="14.5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 ht="14.5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 ht="14.5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 ht="14.5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 ht="14.5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 ht="14.5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 ht="14.5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 ht="14.5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 ht="14.5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 ht="14.5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 ht="14.5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 ht="14.5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 ht="14.5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 ht="14.5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 ht="14.5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 ht="14.5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 ht="14.5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 ht="14.5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 ht="14.5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 ht="14.5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 ht="14.5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 ht="14.5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 ht="14.5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 ht="14.5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 ht="14.5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 ht="14.5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 ht="14.5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 ht="14.5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 ht="14.5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ht="14.5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ht="14.5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ht="14.5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ht="14.5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ht="14.5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ht="14.5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ht="14.5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ht="14.5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 ht="14.5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 ht="14.5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 ht="14.5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 ht="14.5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 ht="14.5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 ht="14.5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 ht="14.5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 ht="14.5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 ht="14.5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 ht="14.5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 ht="14.5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 ht="14.5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 ht="14.5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 ht="14.5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 ht="14.5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 ht="14.5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 ht="14.5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 ht="14.5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 ht="14.5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 ht="14.5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 ht="14.5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 ht="14.5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 ht="14.5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 ht="14.5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 ht="14.5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 ht="14.5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 ht="14.5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 ht="14.5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 ht="14.5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 ht="14.5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 ht="14.5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 ht="14.5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 ht="14.5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 ht="14.5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 ht="14.5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 ht="14.5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 ht="14.5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 ht="14.5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 ht="14.5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 ht="14.5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 ht="14.5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 ht="14.5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 ht="14.5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 ht="14.5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 ht="14.5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 ht="14.5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 ht="14.5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 ht="14.5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 ht="14.5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 ht="14.5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 ht="14.5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 ht="14.5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 ht="14.5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 ht="14.5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 ht="14.5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 ht="14.5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 ht="14.5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 ht="14.5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 ht="14.5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 ht="14.5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 ht="14.5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 ht="14.5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 ht="14.5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 ht="14.5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 ht="14.5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 ht="14.5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 ht="14.5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 ht="14.5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 ht="14.5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 ht="14.5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 ht="14.5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 ht="14.5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 ht="14.5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 ht="14.5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 ht="14.5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 ht="14.5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 ht="14.5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 ht="14.5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 ht="14.5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 ht="14.5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 ht="14.5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 ht="14.5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 ht="14.5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 ht="14.5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 ht="14.5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 ht="14.5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 ht="14.5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 ht="14.5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 ht="14.5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 ht="14.5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 ht="14.5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 ht="14.5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 ht="14.5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 ht="14.5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 ht="14.5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 ht="14.5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 ht="14.5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 ht="14.5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 ht="14.5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 ht="14.5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 ht="14.5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 ht="14.5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 ht="14.5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 ht="14.5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 ht="14.5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 ht="14.5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 ht="14.5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 ht="14.5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 ht="14.5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 ht="14.5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 ht="14.5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 ht="14.5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 ht="14.5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 ht="14.5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 ht="14.5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 ht="14.5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 ht="14.5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 ht="14.5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 ht="14.5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 ht="14.5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 ht="14.5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 ht="14.5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 ht="14.5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 ht="14.5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 ht="14.5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 ht="14.5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 ht="14.5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 ht="14.5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 ht="14.5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 ht="14.5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 ht="14.5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 ht="14.5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 ht="14.5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 ht="14.5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 ht="14.5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 ht="14.5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 ht="14.5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 ht="14.5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 ht="14.5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 ht="14.5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 ht="14.5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 ht="14.5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 ht="14.5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 ht="14.5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 ht="14.5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 ht="14.5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 ht="14.5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 ht="14.5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 ht="14.5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 ht="14.5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 ht="14.5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 ht="14.5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 ht="14.5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 ht="14.5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 ht="14.5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 ht="14.5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 ht="14.5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 ht="14.5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 ht="14.5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 ht="14.5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 ht="14.5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 ht="14.5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 ht="14.5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 ht="14.5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 ht="14.5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 ht="14.5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 ht="14.5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 ht="14.5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 ht="14.5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 ht="14.5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 ht="14.5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 ht="14.5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 ht="14.5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 ht="14.5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 ht="14.5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 ht="14.5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 ht="14.5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 ht="14.5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 ht="14.5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 ht="14.5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 ht="14.5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 ht="14.5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 ht="14.5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 ht="14.5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 ht="14.5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 ht="14.5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 ht="14.5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 ht="14.5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 ht="14.5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 ht="14.5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 ht="14.5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 ht="14.5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 ht="14.5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 ht="14.5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 ht="14.5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 ht="14.5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 ht="14.5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 ht="14.5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 ht="14.5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 ht="14.5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 ht="14.5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 ht="14.5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 ht="14.5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 ht="14.5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 ht="14.5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 ht="14.5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 ht="14.5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 ht="14.5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 ht="14.5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 ht="14.5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 ht="14.5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 ht="14.5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 ht="14.5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 ht="14.5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 ht="14.5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 ht="14.5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 ht="14.5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 ht="14.5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 ht="14.5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 ht="14.5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 ht="14.5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 ht="14.5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 ht="14.5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 ht="14.5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 ht="14.5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 ht="14.5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 ht="14.5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 ht="14.5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 ht="14.5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 ht="14.5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 ht="14.5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 ht="14.5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 ht="14.5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 ht="14.5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 ht="14.5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 ht="14.5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 ht="14.5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 ht="14.5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 ht="14.5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 ht="14.5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 ht="14.5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 ht="14.5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 ht="14.5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 ht="14.5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 ht="14.5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 ht="14.5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 ht="14.5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 ht="14.5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 ht="14.5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 ht="14.5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 ht="14.5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 ht="14.5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 ht="14.5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 ht="14.5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 ht="14.5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 ht="14.5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 ht="14.5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 ht="14.5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 ht="14.5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 ht="14.5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 ht="14.5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 ht="14.5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 ht="14.5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 ht="14.5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 ht="14.5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 ht="14.5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 ht="14.5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 ht="14.5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 ht="14.5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 ht="14.5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 ht="14.5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 ht="14.5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 ht="14.5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 ht="14.5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 ht="14.5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 ht="14.5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 ht="14.5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 ht="14.5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 ht="14.5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 ht="14.5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 ht="14.5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 ht="14.5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 ht="14.5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 ht="14.5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 ht="14.5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 ht="14.5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 ht="14.5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 ht="14.5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 ht="14.5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 ht="14.5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 ht="14.5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 ht="14.5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 ht="14.5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 ht="14.5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 ht="14.5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 ht="14.5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 ht="14.5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 ht="14.5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 ht="14.5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 ht="14.5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 ht="14.5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 ht="14.5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 ht="14.5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 ht="14.5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 ht="14.5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 ht="14.5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 ht="14.5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 ht="14.5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 ht="14.5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 ht="14.5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 ht="14.5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 ht="14.5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 ht="14.5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 ht="14.5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 ht="14.5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 ht="14.5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 ht="14.5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 ht="14.5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 ht="14.5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 ht="14.5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 ht="14.5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 ht="14.5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 ht="14.5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 ht="14.5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 ht="14.5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 ht="14.5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 ht="14.5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 ht="14.5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 ht="14.5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 ht="14.5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 ht="14.5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 ht="14.5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 ht="14.5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 ht="14.5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 ht="14.5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 ht="14.5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 ht="14.5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 ht="14.5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 ht="14.5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 ht="14.5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 ht="14.5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 ht="14.5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 ht="14.5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 ht="14.5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 ht="14.5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 ht="14.5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 ht="14.5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 ht="14.5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 ht="14.5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 ht="14.5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 ht="14.5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 ht="14.5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 ht="14.5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 ht="14.5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 ht="14.5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 ht="14.5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 ht="14.5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 ht="14.5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 ht="14.5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 ht="14.5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 ht="14.5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 ht="14.5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 ht="14.5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 ht="14.5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 ht="14.5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 ht="14.5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 ht="14.5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 ht="14.5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 ht="14.5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 ht="14.5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 ht="14.5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 ht="14.5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 ht="14.5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 ht="14.5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 ht="14.5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 ht="14.5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 ht="14.5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 ht="14.5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 ht="14.5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 ht="14.5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 ht="14.5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 ht="14.5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 ht="14.5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 ht="14.5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 ht="14.5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 ht="14.5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 ht="14.5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 ht="14.5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 ht="14.5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 ht="14.5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 ht="14.5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 ht="14.5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 ht="14.5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 ht="14.5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 ht="14.5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 ht="14.5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 ht="14.5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</sheetData>
  <sortState xmlns:xlrd2="http://schemas.microsoft.com/office/spreadsheetml/2017/richdata2" ref="A2:L15">
    <sortCondition ref="K2:K15"/>
  </sortState>
  <printOptions horizontalCentered="1" gridLines="1"/>
  <pageMargins left="0.7" right="0.7" top="1.1437499999999998" bottom="1.1437499999999998" header="0.75" footer="0.75"/>
  <pageSetup paperSize="0" fitToWidth="0" fitToHeight="0" pageOrder="overThenDown" orientation="landscape" horizontalDpi="0" verticalDpi="0" copies="0"/>
  <headerFooter alignWithMargins="0"/>
  <ignoredErrors>
    <ignoredError sqref="J2:J21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'Scoring tables'!$A$2:$A$57</xm:f>
          </x14:formula1>
          <xm:sqref>L1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workbookViewId="0">
      <selection activeCell="A5" sqref="A5:K5"/>
    </sheetView>
  </sheetViews>
  <sheetFormatPr defaultRowHeight="15.75" customHeight="1" x14ac:dyDescent="0.35"/>
  <cols>
    <col min="1" max="1" width="10.4140625" style="25" customWidth="1"/>
    <col min="2" max="2" width="23.58203125" style="25" customWidth="1"/>
    <col min="3" max="3" width="22.4140625" style="25" customWidth="1"/>
    <col min="4" max="11" width="8.4140625" style="25" customWidth="1"/>
    <col min="12" max="1024" width="11.6640625" style="25" customWidth="1"/>
    <col min="1025" max="16384" width="8.6640625" style="25"/>
  </cols>
  <sheetData>
    <row r="1" spans="1:14" ht="30.75" customHeight="1" x14ac:dyDescent="0.35">
      <c r="A1" s="20" t="s">
        <v>0</v>
      </c>
      <c r="B1" s="20" t="s">
        <v>26</v>
      </c>
      <c r="C1" s="20" t="s">
        <v>27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17</v>
      </c>
    </row>
    <row r="2" spans="1:14" ht="14.5" x14ac:dyDescent="0.35">
      <c r="A2" s="16">
        <f ca="1">IFERROR(__xludf.dummyfunction("""COMPUTED_VALUE"""),158)</f>
        <v>158</v>
      </c>
      <c r="B2" s="12" t="str">
        <f ca="1">IFERROR(__xludf.dummyfunction("""COMPUTED_VALUE"""),"Ayotunde Dauda")</f>
        <v>Ayotunde Dauda</v>
      </c>
      <c r="C2" s="3" t="str">
        <f ca="1">IFERROR(__xludf.dummyfunction("""COMPUTED_VALUE"""),"St Dunstans College")</f>
        <v>St Dunstans College</v>
      </c>
      <c r="D2" s="16" t="s">
        <v>149</v>
      </c>
      <c r="E2" s="22">
        <f ca="1">IFERROR(__xludf.dummyfunction("iferror(1000+INT(($N$2-(index(split(D3,"":""),1)*60+index(split(D3,"":""),2 )))/0.2+1)*$N$3,"""")"),1216)</f>
        <v>1216</v>
      </c>
      <c r="F2" s="16">
        <f ca="1">IFERROR(_xlfn.RANK.EQ(E2,E:E),"")</f>
        <v>1</v>
      </c>
      <c r="G2" s="16" t="s">
        <v>150</v>
      </c>
      <c r="H2" s="22">
        <f ca="1">IFERROR(__xludf.dummyfunction("iferror(1000+INT(($N$4-(index(split(G3,"":""),1)*60+index(split(G3,"":""),2 )))/0.2+1)*$N$5,"""")"),1219)</f>
        <v>1219</v>
      </c>
      <c r="I2" s="16">
        <f ca="1">IFERROR(_xlfn.RANK.EQ(H2,H:H),"")</f>
        <v>2</v>
      </c>
      <c r="J2" s="22">
        <f ca="1">IF(AND(D2="", G2=""), "", E2+H2)</f>
        <v>2435</v>
      </c>
      <c r="K2" s="16">
        <f ca="1">IFERROR(_xlfn.RANK.EQ(J2,J:J),"")</f>
        <v>1</v>
      </c>
      <c r="L2" s="16"/>
      <c r="M2" s="21" t="s">
        <v>38</v>
      </c>
      <c r="N2" s="26">
        <f>VLOOKUP($L$1,'Scoring tables'!$A$2:$K$57,10,0)</f>
        <v>71</v>
      </c>
    </row>
    <row r="3" spans="1:14" ht="14.5" x14ac:dyDescent="0.35">
      <c r="A3" s="16">
        <f ca="1">IFERROR(__xludf.dummyfunction("""COMPUTED_VALUE"""),159)</f>
        <v>159</v>
      </c>
      <c r="B3" s="12" t="str">
        <f ca="1">IFERROR(__xludf.dummyfunction("""COMPUTED_VALUE"""),"Jack Mawdsley")</f>
        <v>Jack Mawdsley</v>
      </c>
      <c r="C3" s="3" t="str">
        <f ca="1">IFERROR(__xludf.dummyfunction("""COMPUTED_VALUE"""),"All Hallows Catholic High School")</f>
        <v>All Hallows Catholic High School</v>
      </c>
      <c r="D3" s="16" t="s">
        <v>151</v>
      </c>
      <c r="E3" s="22">
        <f ca="1">IFERROR(__xludf.dummyfunction("iferror(1000+INT(($N$2-(index(split(D4,"":""),1)*60+index(split(D4,"":""),2 )))/0.2+1)*$N$3,"""")"),1088)</f>
        <v>1088</v>
      </c>
      <c r="F3" s="16">
        <f ca="1">IFERROR(_xlfn.RANK.EQ(E3,E:E),"")</f>
        <v>2</v>
      </c>
      <c r="G3" s="16" t="s">
        <v>152</v>
      </c>
      <c r="H3" s="22">
        <f ca="1">IFERROR(__xludf.dummyfunction("iferror(1000+INT(($N$4-(index(split(G4,"":""),1)*60+index(split(G4,"":""),2 )))/0.2+1)*$N$5,"""")"),1234)</f>
        <v>1234</v>
      </c>
      <c r="I3" s="16">
        <f ca="1">IFERROR(_xlfn.RANK.EQ(H3,H:H),"")</f>
        <v>1</v>
      </c>
      <c r="J3" s="22">
        <f t="shared" ref="J3:J21" ca="1" si="0">IF(AND(D3="", G3=""), "", E3+H3)</f>
        <v>2322</v>
      </c>
      <c r="K3" s="16">
        <f ca="1">IFERROR(_xlfn.RANK.EQ(J3,J:J),"")</f>
        <v>2</v>
      </c>
      <c r="L3" s="16"/>
      <c r="M3" s="21" t="s">
        <v>39</v>
      </c>
      <c r="N3" s="26">
        <f>VLOOKUP($L$1,'Scoring tables'!$A$2:$K$57,11,0)</f>
        <v>4</v>
      </c>
    </row>
    <row r="4" spans="1:14" ht="14.5" x14ac:dyDescent="0.35">
      <c r="A4" s="16">
        <f ca="1">IFERROR(__xludf.dummyfunction("""COMPUTED_VALUE"""),160)</f>
        <v>160</v>
      </c>
      <c r="B4" s="3" t="str">
        <f ca="1">IFERROR(__xludf.dummyfunction("""COMPUTED_VALUE"""),"Leo Hutchinson")</f>
        <v>Leo Hutchinson</v>
      </c>
      <c r="C4" s="3" t="str">
        <f ca="1">IFERROR(__xludf.dummyfunction("""COMPUTED_VALUE"""),"Durham Johnston Comprehensive")</f>
        <v>Durham Johnston Comprehensive</v>
      </c>
      <c r="D4" s="16" t="s">
        <v>153</v>
      </c>
      <c r="E4" s="22">
        <f ca="1">IFERROR(__xludf.dummyfunction("iferror(1000+INT(($N$2-(index(split(D5,"":""),1)*60+index(split(D5,"":""),2 )))/0.2+1)*$N$3,"""")"),536)</f>
        <v>536</v>
      </c>
      <c r="F4" s="16">
        <f ca="1">IFERROR(_xlfn.RANK.EQ(E4,E:E),"")</f>
        <v>3</v>
      </c>
      <c r="G4" s="16" t="s">
        <v>154</v>
      </c>
      <c r="H4" s="22">
        <f ca="1">IFERROR(__xludf.dummyfunction("iferror(1000+INT(($N$4-(index(split(G5,"":""),1)*60+index(split(G5,"":""),2 )))/0.2+1)*$N$5,"""")"),936)</f>
        <v>936</v>
      </c>
      <c r="I4" s="16">
        <f ca="1">IFERROR(_xlfn.RANK.EQ(H4,H:H),"")</f>
        <v>3</v>
      </c>
      <c r="J4" s="22">
        <f t="shared" ca="1" si="0"/>
        <v>1472</v>
      </c>
      <c r="K4" s="16">
        <f ca="1">IFERROR(_xlfn.RANK.EQ(J4,J:J),"")</f>
        <v>3</v>
      </c>
      <c r="L4" s="16"/>
      <c r="M4" s="21" t="s">
        <v>31</v>
      </c>
      <c r="N4" s="26">
        <f>VLOOKUP($L$1,'Scoring tables'!$A$2:$K$57,5,0)</f>
        <v>350</v>
      </c>
    </row>
    <row r="5" spans="1:14" ht="14.5" x14ac:dyDescent="0.35">
      <c r="A5" s="28">
        <f ca="1">IFERROR(__xludf.dummyfunction("Query(Entries!$A$2:$U$1205,""select A,C,D where B = '""&amp;L1&amp;""'"")"),157)</f>
        <v>157</v>
      </c>
      <c r="B5" s="33" t="str">
        <f ca="1">IFERROR(__xludf.dummyfunction("""COMPUTED_VALUE"""),"Hugo Williamson")</f>
        <v>Hugo Williamson</v>
      </c>
      <c r="C5" s="33" t="str">
        <f ca="1">IFERROR(__xludf.dummyfunction("""COMPUTED_VALUE"""),"Scarborough College")</f>
        <v>Scarborough College</v>
      </c>
      <c r="D5" s="28"/>
      <c r="E5" s="30" t="str">
        <f ca="1">IFERROR(__xludf.dummyfunction("iferror(1000+INT(($N$2-(index(split(D2,"":""),1)*60+index(split(D2,"":""),2 )))/0.2+1)*$N$3,"""")"),"")</f>
        <v/>
      </c>
      <c r="F5" s="28" t="str">
        <f ca="1">IFERROR(_xlfn.RANK.EQ(E5,E:E),"")</f>
        <v/>
      </c>
      <c r="G5" s="30"/>
      <c r="H5" s="30" t="str">
        <f ca="1">IFERROR(__xludf.dummyfunction("iferror(1000+INT(($N$4-(index(split(G2,"":""),1)*60+index(split(G2,"":""),2 )))/0.2+1)*$N$5,"""")"),"")</f>
        <v/>
      </c>
      <c r="I5" s="28" t="str">
        <f ca="1">IFERROR(_xlfn.RANK.EQ(H5,H:H),"")</f>
        <v/>
      </c>
      <c r="J5" s="30" t="str">
        <f t="shared" si="0"/>
        <v/>
      </c>
      <c r="K5" s="28" t="s">
        <v>444</v>
      </c>
      <c r="L5" s="16"/>
      <c r="M5" s="21" t="s">
        <v>32</v>
      </c>
      <c r="N5" s="26">
        <f>VLOOKUP($L$1,'Scoring tables'!$A$2:$K$57,6,0)</f>
        <v>1</v>
      </c>
    </row>
    <row r="6" spans="1:14" ht="14.5" x14ac:dyDescent="0.35">
      <c r="A6" s="16"/>
      <c r="B6" s="3"/>
      <c r="C6" s="3"/>
      <c r="D6" s="16"/>
      <c r="E6" s="22" t="str">
        <f ca="1">IFERROR(__xludf.dummyfunction("iferror(1000+INT(($N$2-(index(split(D6,"":""),1)*60+index(split(D6,"":""),2 )))/0.2+1)*$N$3,"""")"),"")</f>
        <v/>
      </c>
      <c r="F6" s="16" t="str">
        <f t="shared" ref="F2:F33" ca="1" si="1">IFERROR(_xlfn.RANK.EQ(E6,E:E),"")</f>
        <v/>
      </c>
      <c r="G6" s="16"/>
      <c r="H6" s="22" t="str">
        <f ca="1">IFERROR(__xludf.dummyfunction("iferror(1000+INT(($N$4-(index(split(G6,"":""),1)*60+index(split(G6,"":""),2 )))/0.2+1)*$N$5,"""")"),"")</f>
        <v/>
      </c>
      <c r="I6" s="16" t="str">
        <f t="shared" ref="I2:I33" ca="1" si="2">IFERROR(_xlfn.RANK.EQ(H6,H:H),"")</f>
        <v/>
      </c>
      <c r="J6" s="22" t="str">
        <f t="shared" si="0"/>
        <v/>
      </c>
      <c r="K6" s="16" t="str">
        <f t="shared" ref="K2:K33" si="3">IFERROR(_xlfn.RANK.EQ(J6,J:J),"")</f>
        <v/>
      </c>
      <c r="L6" s="16"/>
    </row>
    <row r="7" spans="1:14" ht="14.5" x14ac:dyDescent="0.35">
      <c r="A7" s="16"/>
      <c r="B7" s="16"/>
      <c r="C7" s="16"/>
      <c r="D7" s="16"/>
      <c r="E7" s="22" t="str">
        <f ca="1">IFERROR(__xludf.dummyfunction("iferror(1000+INT(($N$2-(index(split(D7,"":""),1)*60+index(split(D7,"":""),2 )))/0.2+1)*$N$3,"""")"),"")</f>
        <v/>
      </c>
      <c r="F7" s="16" t="str">
        <f t="shared" ca="1" si="1"/>
        <v/>
      </c>
      <c r="G7" s="16"/>
      <c r="H7" s="22" t="str">
        <f ca="1">IFERROR(__xludf.dummyfunction("iferror(1000+INT(($N$4-(index(split(G7,"":""),1)*60+index(split(G7,"":""),2 )))/0.2+1)*$N$5,"""")"),"")</f>
        <v/>
      </c>
      <c r="I7" s="16" t="str">
        <f t="shared" ca="1" si="2"/>
        <v/>
      </c>
      <c r="J7" s="22" t="str">
        <f t="shared" si="0"/>
        <v/>
      </c>
      <c r="K7" s="16" t="str">
        <f t="shared" si="3"/>
        <v/>
      </c>
      <c r="L7" s="16"/>
    </row>
    <row r="8" spans="1:14" ht="14.5" x14ac:dyDescent="0.35">
      <c r="A8" s="16"/>
      <c r="B8" s="16"/>
      <c r="C8" s="16"/>
      <c r="D8" s="23"/>
      <c r="E8" s="22" t="str">
        <f ca="1">IFERROR(__xludf.dummyfunction("iferror(1000+INT(($N$2-(index(split(D8,"":""),1)*60+index(split(D8,"":""),2 )))/0.2+1)*$N$3,"""")"),"")</f>
        <v/>
      </c>
      <c r="F8" s="16" t="str">
        <f t="shared" ca="1" si="1"/>
        <v/>
      </c>
      <c r="G8" s="16"/>
      <c r="H8" s="22" t="str">
        <f ca="1">IFERROR(__xludf.dummyfunction("iferror(1000+INT(($N$4-(index(split(G8,"":""),1)*60+index(split(G8,"":""),2 )))/0.2+1)*$N$5,"""")"),"")</f>
        <v/>
      </c>
      <c r="I8" s="16" t="str">
        <f t="shared" ca="1" si="2"/>
        <v/>
      </c>
      <c r="J8" s="22" t="str">
        <f t="shared" si="0"/>
        <v/>
      </c>
      <c r="K8" s="16" t="str">
        <f t="shared" si="3"/>
        <v/>
      </c>
      <c r="L8" s="16"/>
    </row>
    <row r="9" spans="1:14" ht="14.5" x14ac:dyDescent="0.35">
      <c r="A9" s="16"/>
      <c r="B9" s="16"/>
      <c r="C9" s="16"/>
      <c r="D9" s="16"/>
      <c r="E9" s="22" t="str">
        <f ca="1">IFERROR(__xludf.dummyfunction("iferror(1000+INT(($N$2-(index(split(D9,"":""),1)*60+index(split(D9,"":""),2 )))/0.2+1)*$N$3,"""")"),"")</f>
        <v/>
      </c>
      <c r="F9" s="16" t="str">
        <f t="shared" ca="1" si="1"/>
        <v/>
      </c>
      <c r="G9" s="16"/>
      <c r="H9" s="22" t="str">
        <f ca="1">IFERROR(__xludf.dummyfunction("iferror(1000+INT(($N$4-(index(split(G9,"":""),1)*60+index(split(G9,"":""),2 )))/0.2+1)*$N$5,"""")"),"")</f>
        <v/>
      </c>
      <c r="I9" s="16" t="str">
        <f t="shared" ca="1" si="2"/>
        <v/>
      </c>
      <c r="J9" s="22" t="str">
        <f t="shared" si="0"/>
        <v/>
      </c>
      <c r="K9" s="16" t="str">
        <f t="shared" si="3"/>
        <v/>
      </c>
      <c r="L9" s="16"/>
    </row>
    <row r="10" spans="1:14" ht="14.5" x14ac:dyDescent="0.35">
      <c r="A10" s="16"/>
      <c r="B10" s="16"/>
      <c r="C10" s="16"/>
      <c r="D10" s="16"/>
      <c r="E10" s="22" t="str">
        <f ca="1">IFERROR(__xludf.dummyfunction("iferror(1000+INT(($N$2-(index(split(D10,"":""),1)*60+index(split(D10,"":""),2 )))/0.2+1)*$N$3,"""")"),"")</f>
        <v/>
      </c>
      <c r="F10" s="16" t="str">
        <f t="shared" ca="1" si="1"/>
        <v/>
      </c>
      <c r="G10" s="16"/>
      <c r="H10" s="22" t="str">
        <f ca="1">IFERROR(__xludf.dummyfunction("iferror(1000+INT(($N$4-(index(split(G10,"":""),1)*60+index(split(G10,"":""),2 )))/0.2+1)*$N$5,"""")"),"")</f>
        <v/>
      </c>
      <c r="I10" s="16" t="str">
        <f t="shared" ca="1" si="2"/>
        <v/>
      </c>
      <c r="J10" s="22" t="str">
        <f t="shared" si="0"/>
        <v/>
      </c>
      <c r="K10" s="16" t="str">
        <f t="shared" si="3"/>
        <v/>
      </c>
      <c r="L10" s="16"/>
    </row>
    <row r="11" spans="1:14" ht="14.5" x14ac:dyDescent="0.35">
      <c r="A11" s="16"/>
      <c r="B11" s="16"/>
      <c r="C11" s="16"/>
      <c r="D11" s="16"/>
      <c r="E11" s="22" t="str">
        <f ca="1">IFERROR(__xludf.dummyfunction("iferror(1000+INT(($N$2-(index(split(D11,"":""),1)*60+index(split(D11,"":""),2 )))/0.2+1)*$N$3,"""")"),"")</f>
        <v/>
      </c>
      <c r="F11" s="16" t="str">
        <f t="shared" ca="1" si="1"/>
        <v/>
      </c>
      <c r="G11" s="16"/>
      <c r="H11" s="22" t="str">
        <f ca="1">IFERROR(__xludf.dummyfunction("iferror(1000+INT(($N$4-(index(split(G11,"":""),1)*60+index(split(G11,"":""),2 )))/0.2+1)*$N$5,"""")"),"")</f>
        <v/>
      </c>
      <c r="I11" s="16" t="str">
        <f t="shared" ca="1" si="2"/>
        <v/>
      </c>
      <c r="J11" s="22" t="str">
        <f t="shared" si="0"/>
        <v/>
      </c>
      <c r="K11" s="16" t="str">
        <f t="shared" si="3"/>
        <v/>
      </c>
      <c r="L11" s="16"/>
    </row>
    <row r="12" spans="1:14" ht="14.5" x14ac:dyDescent="0.35">
      <c r="A12" s="16"/>
      <c r="B12" s="16"/>
      <c r="C12" s="16"/>
      <c r="D12" s="16"/>
      <c r="E12" s="22" t="str">
        <f ca="1">IFERROR(__xludf.dummyfunction("iferror(1000+INT(($N$2-(index(split(D12,"":""),1)*60+index(split(D12,"":""),2 )))/0.2+1)*$N$3,"""")"),"")</f>
        <v/>
      </c>
      <c r="F12" s="16" t="str">
        <f t="shared" ca="1" si="1"/>
        <v/>
      </c>
      <c r="G12" s="16"/>
      <c r="H12" s="22" t="str">
        <f ca="1">IFERROR(__xludf.dummyfunction("iferror(1000+INT(($N$4-(index(split(G12,"":""),1)*60+index(split(G12,"":""),2 )))/0.2+1)*$N$5,"""")"),"")</f>
        <v/>
      </c>
      <c r="I12" s="16" t="str">
        <f t="shared" ca="1" si="2"/>
        <v/>
      </c>
      <c r="J12" s="22" t="str">
        <f t="shared" si="0"/>
        <v/>
      </c>
      <c r="K12" s="16" t="str">
        <f t="shared" si="3"/>
        <v/>
      </c>
      <c r="L12" s="16"/>
    </row>
    <row r="13" spans="1:14" ht="14.5" x14ac:dyDescent="0.35">
      <c r="A13" s="16"/>
      <c r="B13" s="16"/>
      <c r="C13" s="16"/>
      <c r="D13" s="16"/>
      <c r="E13" s="22" t="str">
        <f ca="1">IFERROR(__xludf.dummyfunction("iferror(1000+INT(($N$2-(index(split(D13,"":""),1)*60+index(split(D13,"":""),2 )))/0.2+1)*$N$3,"""")"),"")</f>
        <v/>
      </c>
      <c r="F13" s="16" t="str">
        <f t="shared" ca="1" si="1"/>
        <v/>
      </c>
      <c r="G13" s="16"/>
      <c r="H13" s="22" t="str">
        <f ca="1">IFERROR(__xludf.dummyfunction("iferror(1000+INT(($N$4-(index(split(G13,"":""),1)*60+index(split(G13,"":""),2 )))/0.2+1)*$N$5,"""")"),"")</f>
        <v/>
      </c>
      <c r="I13" s="16" t="str">
        <f t="shared" ca="1" si="2"/>
        <v/>
      </c>
      <c r="J13" s="22" t="str">
        <f t="shared" si="0"/>
        <v/>
      </c>
      <c r="K13" s="16" t="str">
        <f t="shared" si="3"/>
        <v/>
      </c>
      <c r="L13" s="16"/>
    </row>
    <row r="14" spans="1:14" ht="14.5" x14ac:dyDescent="0.35">
      <c r="A14" s="16"/>
      <c r="B14" s="16"/>
      <c r="C14" s="16"/>
      <c r="D14" s="16"/>
      <c r="E14" s="22" t="str">
        <f ca="1">IFERROR(__xludf.dummyfunction("iferror(1000+INT(($N$2-(index(split(D14,"":""),1)*60+index(split(D14,"":""),2 )))/0.2+1)*$N$3,"""")"),"")</f>
        <v/>
      </c>
      <c r="F14" s="16" t="str">
        <f t="shared" ca="1" si="1"/>
        <v/>
      </c>
      <c r="G14" s="16"/>
      <c r="H14" s="22" t="str">
        <f ca="1">IFERROR(__xludf.dummyfunction("iferror(1000+INT(($N$4-(index(split(G14,"":""),1)*60+index(split(G14,"":""),2 )))/0.2+1)*$N$5,"""")"),"")</f>
        <v/>
      </c>
      <c r="I14" s="16" t="str">
        <f t="shared" ca="1" si="2"/>
        <v/>
      </c>
      <c r="J14" s="22" t="str">
        <f t="shared" si="0"/>
        <v/>
      </c>
      <c r="K14" s="16" t="str">
        <f t="shared" si="3"/>
        <v/>
      </c>
      <c r="L14" s="16"/>
    </row>
    <row r="15" spans="1:14" ht="14.5" x14ac:dyDescent="0.35">
      <c r="A15" s="16"/>
      <c r="B15" s="16"/>
      <c r="C15" s="16"/>
      <c r="D15" s="16"/>
      <c r="E15" s="22" t="str">
        <f ca="1">IFERROR(__xludf.dummyfunction("iferror(1000+INT(($N$2-(index(split(D15,"":""),1)*60+index(split(D15,"":""),2 )))/0.2+1)*$N$3,"""")"),"")</f>
        <v/>
      </c>
      <c r="F15" s="16" t="str">
        <f t="shared" ca="1" si="1"/>
        <v/>
      </c>
      <c r="G15" s="16"/>
      <c r="H15" s="22" t="str">
        <f ca="1">IFERROR(__xludf.dummyfunction("iferror(1000+INT(($N$4-(index(split(G15,"":""),1)*60+index(split(G15,"":""),2 )))/0.2+1)*$N$5,"""")"),"")</f>
        <v/>
      </c>
      <c r="I15" s="16" t="str">
        <f t="shared" ca="1" si="2"/>
        <v/>
      </c>
      <c r="J15" s="22" t="str">
        <f t="shared" si="0"/>
        <v/>
      </c>
      <c r="K15" s="16" t="str">
        <f t="shared" si="3"/>
        <v/>
      </c>
      <c r="L15" s="16"/>
    </row>
    <row r="16" spans="1:14" ht="14.5" x14ac:dyDescent="0.35">
      <c r="A16" s="16"/>
      <c r="B16" s="16"/>
      <c r="C16" s="16"/>
      <c r="D16" s="16"/>
      <c r="E16" s="22" t="str">
        <f ca="1">IFERROR(__xludf.dummyfunction("iferror(1000+INT(($N$2-(index(split(D16,"":""),1)*60+index(split(D16,"":""),2 )))/0.2+1)*$N$3,"""")"),"")</f>
        <v/>
      </c>
      <c r="F16" s="16" t="str">
        <f t="shared" ca="1" si="1"/>
        <v/>
      </c>
      <c r="G16" s="16"/>
      <c r="H16" s="22" t="str">
        <f ca="1">IFERROR(__xludf.dummyfunction("iferror(1000+INT(($N$4-(index(split(G16,"":""),1)*60+index(split(G16,"":""),2 )))/0.2+1)*$N$5,"""")"),"")</f>
        <v/>
      </c>
      <c r="I16" s="16" t="str">
        <f t="shared" ca="1" si="2"/>
        <v/>
      </c>
      <c r="J16" s="22" t="str">
        <f t="shared" si="0"/>
        <v/>
      </c>
      <c r="K16" s="16" t="str">
        <f t="shared" si="3"/>
        <v/>
      </c>
      <c r="L16" s="16"/>
    </row>
    <row r="17" spans="1:12" ht="14.5" x14ac:dyDescent="0.35">
      <c r="A17" s="16"/>
      <c r="B17" s="16"/>
      <c r="C17" s="16"/>
      <c r="D17" s="16"/>
      <c r="E17" s="22" t="str">
        <f ca="1">IFERROR(__xludf.dummyfunction("iferror(1000+INT(($N$2-(index(split(D17,"":""),1)*60+index(split(D17,"":""),2 )))/0.2+1)*$N$3,"""")"),"")</f>
        <v/>
      </c>
      <c r="F17" s="16" t="str">
        <f t="shared" ca="1" si="1"/>
        <v/>
      </c>
      <c r="G17" s="16"/>
      <c r="H17" s="22" t="str">
        <f ca="1">IFERROR(__xludf.dummyfunction("iferror(1000+INT(($N$4-(index(split(G17,"":""),1)*60+index(split(G17,"":""),2 )))/0.2+1)*$N$5,"""")"),"")</f>
        <v/>
      </c>
      <c r="I17" s="16" t="str">
        <f t="shared" ca="1" si="2"/>
        <v/>
      </c>
      <c r="J17" s="22" t="str">
        <f t="shared" si="0"/>
        <v/>
      </c>
      <c r="K17" s="16" t="str">
        <f t="shared" si="3"/>
        <v/>
      </c>
      <c r="L17" s="16"/>
    </row>
    <row r="18" spans="1:12" ht="14.5" x14ac:dyDescent="0.35">
      <c r="A18" s="16"/>
      <c r="B18" s="16"/>
      <c r="C18" s="16"/>
      <c r="D18" s="16"/>
      <c r="E18" s="22" t="str">
        <f ca="1">IFERROR(__xludf.dummyfunction("iferror(1000+INT(($N$2-(index(split(D18,"":""),1)*60+index(split(D18,"":""),2 )))/0.2+1)*$N$3,"""")"),"")</f>
        <v/>
      </c>
      <c r="F18" s="16" t="str">
        <f t="shared" ca="1" si="1"/>
        <v/>
      </c>
      <c r="G18" s="16"/>
      <c r="H18" s="22" t="str">
        <f ca="1">IFERROR(__xludf.dummyfunction("iferror(1000+INT(($N$4-(index(split(G18,"":""),1)*60+index(split(G18,"":""),2 )))/0.2+1)*$N$5,"""")"),"")</f>
        <v/>
      </c>
      <c r="I18" s="16" t="str">
        <f t="shared" ca="1" si="2"/>
        <v/>
      </c>
      <c r="J18" s="22" t="str">
        <f t="shared" si="0"/>
        <v/>
      </c>
      <c r="K18" s="16" t="str">
        <f t="shared" si="3"/>
        <v/>
      </c>
      <c r="L18" s="16"/>
    </row>
    <row r="19" spans="1:12" ht="14.5" x14ac:dyDescent="0.35">
      <c r="A19" s="16"/>
      <c r="B19" s="16"/>
      <c r="C19" s="16"/>
      <c r="D19" s="16"/>
      <c r="E19" s="22" t="str">
        <f ca="1">IFERROR(__xludf.dummyfunction("iferror(1000+INT(($N$2-(index(split(D19,"":""),1)*60+index(split(D19,"":""),2 )))/0.2+1)*$N$3,"""")"),"")</f>
        <v/>
      </c>
      <c r="F19" s="16" t="str">
        <f t="shared" ca="1" si="1"/>
        <v/>
      </c>
      <c r="G19" s="16"/>
      <c r="H19" s="22" t="str">
        <f ca="1">IFERROR(__xludf.dummyfunction("iferror(1000+INT(($N$4-(index(split(G19,"":""),1)*60+index(split(G19,"":""),2 )))/0.2+1)*$N$5,"""")"),"")</f>
        <v/>
      </c>
      <c r="I19" s="16" t="str">
        <f t="shared" ca="1" si="2"/>
        <v/>
      </c>
      <c r="J19" s="22" t="str">
        <f t="shared" si="0"/>
        <v/>
      </c>
      <c r="K19" s="16" t="str">
        <f t="shared" si="3"/>
        <v/>
      </c>
      <c r="L19" s="16"/>
    </row>
    <row r="20" spans="1:12" ht="14.5" x14ac:dyDescent="0.35">
      <c r="A20" s="16"/>
      <c r="B20" s="16"/>
      <c r="C20" s="16"/>
      <c r="D20" s="16"/>
      <c r="E20" s="22" t="str">
        <f ca="1">IFERROR(__xludf.dummyfunction("iferror(1000+INT(($N$2-(index(split(D20,"":""),1)*60+index(split(D20,"":""),2 )))/0.2+1)*$N$3,"""")"),"")</f>
        <v/>
      </c>
      <c r="F20" s="16" t="str">
        <f t="shared" ca="1" si="1"/>
        <v/>
      </c>
      <c r="G20" s="16"/>
      <c r="H20" s="22" t="str">
        <f ca="1">IFERROR(__xludf.dummyfunction("iferror(1000+INT(($N$4-(index(split(G20,"":""),1)*60+index(split(G20,"":""),2 )))/0.2+1)*$N$5,"""")"),"")</f>
        <v/>
      </c>
      <c r="I20" s="16" t="str">
        <f t="shared" ca="1" si="2"/>
        <v/>
      </c>
      <c r="J20" s="22" t="str">
        <f t="shared" si="0"/>
        <v/>
      </c>
      <c r="K20" s="16" t="str">
        <f t="shared" si="3"/>
        <v/>
      </c>
      <c r="L20" s="16"/>
    </row>
    <row r="21" spans="1:12" ht="14.5" x14ac:dyDescent="0.35">
      <c r="A21" s="16"/>
      <c r="B21" s="16"/>
      <c r="C21" s="16"/>
      <c r="D21" s="16"/>
      <c r="E21" s="22" t="str">
        <f ca="1">IFERROR(__xludf.dummyfunction("iferror(1000+INT(($N$2-(index(split(D21,"":""),1)*60+index(split(D21,"":""),2 )))/0.2+1)*$N$3,"""")"),"")</f>
        <v/>
      </c>
      <c r="F21" s="16" t="str">
        <f t="shared" ca="1" si="1"/>
        <v/>
      </c>
      <c r="G21" s="16"/>
      <c r="H21" s="22" t="str">
        <f ca="1">IFERROR(__xludf.dummyfunction("iferror(1000+INT(($N$4-(index(split(G21,"":""),1)*60+index(split(G21,"":""),2 )))/0.2+1)*$N$5,"""")"),"")</f>
        <v/>
      </c>
      <c r="I21" s="16" t="str">
        <f t="shared" ca="1" si="2"/>
        <v/>
      </c>
      <c r="J21" s="22" t="str">
        <f t="shared" si="0"/>
        <v/>
      </c>
      <c r="K21" s="16" t="str">
        <f t="shared" si="3"/>
        <v/>
      </c>
      <c r="L21" s="16"/>
    </row>
    <row r="22" spans="1:12" ht="14.5" x14ac:dyDescent="0.35">
      <c r="A22" s="16"/>
      <c r="B22" s="16"/>
      <c r="C22" s="16"/>
      <c r="D22" s="16"/>
      <c r="E22" s="22" t="str">
        <f ca="1">IFERROR(__xludf.dummyfunction("iferror(1000+INT(($N$2-(index(split(D22,"":""),1)*60+index(split(D22,"":""),2 )))/0.2+1)*$N$3,"""")"),"")</f>
        <v/>
      </c>
      <c r="F22" s="16" t="str">
        <f t="shared" ca="1" si="1"/>
        <v/>
      </c>
      <c r="G22" s="16"/>
      <c r="H22" s="22" t="str">
        <f ca="1">IFERROR(__xludf.dummyfunction("iferror(1000+INT(($N$4-(index(split(G22,"":""),1)*60+index(split(G22,"":""),2 )))/0.2+1)*$N$5,"""")"),"")</f>
        <v/>
      </c>
      <c r="I22" s="16" t="str">
        <f t="shared" ca="1" si="2"/>
        <v/>
      </c>
      <c r="J22" s="16" t="str">
        <f t="shared" ref="J2:J33" si="4">IF(AND(D22="", G22=""), "", E22+H22)</f>
        <v/>
      </c>
      <c r="K22" s="16" t="str">
        <f t="shared" si="3"/>
        <v/>
      </c>
      <c r="L22" s="16"/>
    </row>
    <row r="23" spans="1:12" ht="14.5" x14ac:dyDescent="0.35">
      <c r="A23" s="16"/>
      <c r="B23" s="16"/>
      <c r="C23" s="16"/>
      <c r="D23" s="16"/>
      <c r="E23" s="22" t="str">
        <f ca="1">IFERROR(__xludf.dummyfunction("iferror(1000+INT(($N$2-(index(split(D23,"":""),1)*60+index(split(D23,"":""),2 )))/0.2+1)*$N$3,"""")"),"")</f>
        <v/>
      </c>
      <c r="F23" s="16" t="str">
        <f t="shared" ca="1" si="1"/>
        <v/>
      </c>
      <c r="G23" s="16"/>
      <c r="H23" s="22" t="str">
        <f ca="1">IFERROR(__xludf.dummyfunction("iferror(1000+INT(($N$4-(index(split(G23,"":""),1)*60+index(split(G23,"":""),2 )))/0.2+1)*$N$5,"""")"),"")</f>
        <v/>
      </c>
      <c r="I23" s="16" t="str">
        <f t="shared" ca="1" si="2"/>
        <v/>
      </c>
      <c r="J23" s="16" t="str">
        <f t="shared" si="4"/>
        <v/>
      </c>
      <c r="K23" s="16" t="str">
        <f t="shared" si="3"/>
        <v/>
      </c>
      <c r="L23" s="16"/>
    </row>
    <row r="24" spans="1:12" ht="14.5" x14ac:dyDescent="0.35">
      <c r="A24" s="16"/>
      <c r="B24" s="16"/>
      <c r="C24" s="16"/>
      <c r="D24" s="16"/>
      <c r="E24" s="22" t="str">
        <f ca="1">IFERROR(__xludf.dummyfunction("iferror(1000+INT(($N$2-(index(split(D24,"":""),1)*60+index(split(D24,"":""),2 )))/0.2+1)*$N$3,"""")"),"")</f>
        <v/>
      </c>
      <c r="F24" s="16" t="str">
        <f t="shared" ca="1" si="1"/>
        <v/>
      </c>
      <c r="G24" s="16"/>
      <c r="H24" s="22" t="str">
        <f ca="1">IFERROR(__xludf.dummyfunction("iferror(1000+INT(($N$4-(index(split(G24,"":""),1)*60+index(split(G24,"":""),2 )))/0.2+1)*$N$5,"""")"),"")</f>
        <v/>
      </c>
      <c r="I24" s="16" t="str">
        <f t="shared" ca="1" si="2"/>
        <v/>
      </c>
      <c r="J24" s="16" t="str">
        <f t="shared" si="4"/>
        <v/>
      </c>
      <c r="K24" s="16" t="str">
        <f t="shared" si="3"/>
        <v/>
      </c>
      <c r="L24" s="16"/>
    </row>
    <row r="25" spans="1:12" ht="14.5" x14ac:dyDescent="0.35">
      <c r="A25" s="16"/>
      <c r="B25" s="16"/>
      <c r="C25" s="16"/>
      <c r="D25" s="16"/>
      <c r="E25" s="22" t="str">
        <f ca="1">IFERROR(__xludf.dummyfunction("iferror(1000+INT(($N$2-(index(split(D25,"":""),1)*60+index(split(D25,"":""),2 )))/0.2+1)*$N$3,"""")"),"")</f>
        <v/>
      </c>
      <c r="F25" s="16" t="str">
        <f t="shared" ca="1" si="1"/>
        <v/>
      </c>
      <c r="G25" s="16"/>
      <c r="H25" s="22" t="str">
        <f ca="1">IFERROR(__xludf.dummyfunction("iferror(1000+INT(($N$4-(index(split(G25,"":""),1)*60+index(split(G25,"":""),2 )))/0.2+1)*$N$5,"""")"),"")</f>
        <v/>
      </c>
      <c r="I25" s="16" t="str">
        <f t="shared" ca="1" si="2"/>
        <v/>
      </c>
      <c r="J25" s="16" t="str">
        <f t="shared" si="4"/>
        <v/>
      </c>
      <c r="K25" s="16" t="str">
        <f t="shared" si="3"/>
        <v/>
      </c>
      <c r="L25" s="16"/>
    </row>
    <row r="26" spans="1:12" ht="14.5" x14ac:dyDescent="0.35">
      <c r="A26" s="16"/>
      <c r="B26" s="16"/>
      <c r="C26" s="16"/>
      <c r="D26" s="16"/>
      <c r="E26" s="22" t="str">
        <f ca="1">IFERROR(__xludf.dummyfunction("iferror(1000+INT(($N$2-(index(split(D26,"":""),1)*60+index(split(D26,"":""),2 )))/0.2+1)*$N$3,"""")"),"")</f>
        <v/>
      </c>
      <c r="F26" s="16" t="str">
        <f t="shared" ca="1" si="1"/>
        <v/>
      </c>
      <c r="G26" s="16"/>
      <c r="H26" s="22" t="str">
        <f ca="1">IFERROR(__xludf.dummyfunction("iferror(1000+INT(($N$4-(index(split(G26,"":""),1)*60+index(split(G26,"":""),2 )))/0.2+1)*$N$5,"""")"),"")</f>
        <v/>
      </c>
      <c r="I26" s="16" t="str">
        <f t="shared" ca="1" si="2"/>
        <v/>
      </c>
      <c r="J26" s="16" t="str">
        <f t="shared" si="4"/>
        <v/>
      </c>
      <c r="K26" s="16" t="str">
        <f t="shared" si="3"/>
        <v/>
      </c>
      <c r="L26" s="16"/>
    </row>
    <row r="27" spans="1:12" ht="14.5" x14ac:dyDescent="0.35">
      <c r="A27" s="16"/>
      <c r="B27" s="16"/>
      <c r="C27" s="16"/>
      <c r="D27" s="16"/>
      <c r="E27" s="22" t="str">
        <f ca="1">IFERROR(__xludf.dummyfunction("iferror(1000+INT(($N$2-(index(split(D27,"":""),1)*60+index(split(D27,"":""),2 )))/0.2+1)*$N$3,"""")"),"")</f>
        <v/>
      </c>
      <c r="F27" s="16" t="str">
        <f t="shared" ca="1" si="1"/>
        <v/>
      </c>
      <c r="G27" s="16"/>
      <c r="H27" s="22" t="str">
        <f ca="1">IFERROR(__xludf.dummyfunction("iferror(1000+INT(($N$4-(index(split(G27,"":""),1)*60+index(split(G27,"":""),2 )))/0.2+1)*$N$5,"""")"),"")</f>
        <v/>
      </c>
      <c r="I27" s="16" t="str">
        <f t="shared" ca="1" si="2"/>
        <v/>
      </c>
      <c r="J27" s="16" t="str">
        <f t="shared" si="4"/>
        <v/>
      </c>
      <c r="K27" s="16" t="str">
        <f t="shared" si="3"/>
        <v/>
      </c>
      <c r="L27" s="16"/>
    </row>
    <row r="28" spans="1:12" ht="14.5" x14ac:dyDescent="0.35">
      <c r="A28" s="16"/>
      <c r="B28" s="16"/>
      <c r="C28" s="16"/>
      <c r="D28" s="16"/>
      <c r="E28" s="22" t="str">
        <f ca="1">IFERROR(__xludf.dummyfunction("iferror(1000+INT(($N$2-(index(split(D28,"":""),1)*60+index(split(D28,"":""),2 )))/0.2+1)*$N$3,"""")"),"")</f>
        <v/>
      </c>
      <c r="F28" s="16" t="str">
        <f t="shared" ca="1" si="1"/>
        <v/>
      </c>
      <c r="G28" s="16"/>
      <c r="H28" s="22" t="str">
        <f ca="1">IFERROR(__xludf.dummyfunction("iferror(1000+INT(($N$4-(index(split(G28,"":""),1)*60+index(split(G28,"":""),2 )))/0.2+1)*$N$5,"""")"),"")</f>
        <v/>
      </c>
      <c r="I28" s="16" t="str">
        <f t="shared" ca="1" si="2"/>
        <v/>
      </c>
      <c r="J28" s="16" t="str">
        <f t="shared" si="4"/>
        <v/>
      </c>
      <c r="K28" s="16" t="str">
        <f t="shared" si="3"/>
        <v/>
      </c>
      <c r="L28" s="16"/>
    </row>
    <row r="29" spans="1:12" ht="14.5" x14ac:dyDescent="0.35">
      <c r="A29" s="16"/>
      <c r="B29" s="16"/>
      <c r="C29" s="16"/>
      <c r="D29" s="16"/>
      <c r="E29" s="22" t="str">
        <f ca="1">IFERROR(__xludf.dummyfunction("iferror(1000+INT(($N$2-(index(split(D29,"":""),1)*60+index(split(D29,"":""),2 )))/0.2+1)*$N$3,"""")"),"")</f>
        <v/>
      </c>
      <c r="F29" s="16" t="str">
        <f t="shared" ca="1" si="1"/>
        <v/>
      </c>
      <c r="G29" s="16"/>
      <c r="H29" s="22" t="str">
        <f ca="1">IFERROR(__xludf.dummyfunction("iferror(1000+INT(($N$4-(index(split(G29,"":""),1)*60+index(split(G29,"":""),2 )))/0.2+1)*$N$5,"""")"),"")</f>
        <v/>
      </c>
      <c r="I29" s="16" t="str">
        <f t="shared" ca="1" si="2"/>
        <v/>
      </c>
      <c r="J29" s="16" t="str">
        <f t="shared" si="4"/>
        <v/>
      </c>
      <c r="K29" s="16" t="str">
        <f t="shared" si="3"/>
        <v/>
      </c>
      <c r="L29" s="16"/>
    </row>
    <row r="30" spans="1:12" ht="14.5" x14ac:dyDescent="0.35">
      <c r="A30" s="16"/>
      <c r="B30" s="16"/>
      <c r="C30" s="16"/>
      <c r="D30" s="16"/>
      <c r="E30" s="22" t="str">
        <f ca="1">IFERROR(__xludf.dummyfunction("iferror(1000+INT(($N$2-(index(split(D30,"":""),1)*60+index(split(D30,"":""),2 )))/0.2+1)*$N$3,"""")"),"")</f>
        <v/>
      </c>
      <c r="F30" s="16" t="str">
        <f t="shared" ca="1" si="1"/>
        <v/>
      </c>
      <c r="G30" s="16"/>
      <c r="H30" s="22" t="str">
        <f ca="1">IFERROR(__xludf.dummyfunction("iferror(1000+INT(($N$4-(index(split(G30,"":""),1)*60+index(split(G30,"":""),2 )))/0.2+1)*$N$5,"""")"),"")</f>
        <v/>
      </c>
      <c r="I30" s="16" t="str">
        <f t="shared" ca="1" si="2"/>
        <v/>
      </c>
      <c r="J30" s="16" t="str">
        <f t="shared" si="4"/>
        <v/>
      </c>
      <c r="K30" s="16" t="str">
        <f t="shared" si="3"/>
        <v/>
      </c>
      <c r="L30" s="16"/>
    </row>
    <row r="31" spans="1:12" ht="14.5" x14ac:dyDescent="0.35">
      <c r="A31" s="16"/>
      <c r="B31" s="16"/>
      <c r="C31" s="16"/>
      <c r="D31" s="16"/>
      <c r="E31" s="22" t="str">
        <f ca="1">IFERROR(__xludf.dummyfunction("iferror(1000+INT(($N$2-(index(split(D31,"":""),1)*60+index(split(D31,"":""),2 )))/0.2+1)*$N$3,"""")"),"")</f>
        <v/>
      </c>
      <c r="F31" s="16" t="str">
        <f t="shared" ca="1" si="1"/>
        <v/>
      </c>
      <c r="G31" s="16"/>
      <c r="H31" s="22" t="str">
        <f ca="1">IFERROR(__xludf.dummyfunction("iferror(1000+INT(($N$4-(index(split(G31,"":""),1)*60+index(split(G31,"":""),2 )))/0.2+1)*$N$5,"""")"),"")</f>
        <v/>
      </c>
      <c r="I31" s="16" t="str">
        <f t="shared" ca="1" si="2"/>
        <v/>
      </c>
      <c r="J31" s="16" t="str">
        <f t="shared" si="4"/>
        <v/>
      </c>
      <c r="K31" s="16" t="str">
        <f t="shared" si="3"/>
        <v/>
      </c>
      <c r="L31" s="16"/>
    </row>
    <row r="32" spans="1:12" ht="14.5" x14ac:dyDescent="0.35">
      <c r="A32" s="16"/>
      <c r="B32" s="16"/>
      <c r="C32" s="16"/>
      <c r="D32" s="16"/>
      <c r="E32" s="22" t="str">
        <f ca="1">IFERROR(__xludf.dummyfunction("iferror(1000+INT(($N$2-(index(split(D32,"":""),1)*60+index(split(D32,"":""),2 )))/0.2+1)*$N$3,"""")"),"")</f>
        <v/>
      </c>
      <c r="F32" s="16" t="str">
        <f t="shared" ca="1" si="1"/>
        <v/>
      </c>
      <c r="G32" s="16"/>
      <c r="H32" s="22" t="str">
        <f ca="1">IFERROR(__xludf.dummyfunction("iferror(1000+INT(($N$4-(index(split(G32,"":""),1)*60+index(split(G32,"":""),2 )))/0.2+1)*$N$5,"""")"),"")</f>
        <v/>
      </c>
      <c r="I32" s="16" t="str">
        <f t="shared" ca="1" si="2"/>
        <v/>
      </c>
      <c r="J32" s="16" t="str">
        <f t="shared" si="4"/>
        <v/>
      </c>
      <c r="K32" s="16" t="str">
        <f t="shared" si="3"/>
        <v/>
      </c>
      <c r="L32" s="16"/>
    </row>
    <row r="33" spans="1:12" ht="14.5" x14ac:dyDescent="0.35">
      <c r="A33" s="16"/>
      <c r="B33" s="16"/>
      <c r="C33" s="16"/>
      <c r="D33" s="16"/>
      <c r="E33" s="22" t="str">
        <f ca="1">IFERROR(__xludf.dummyfunction("iferror(1000+INT(($N$2-(index(split(D33,"":""),1)*60+index(split(D33,"":""),2 )))/0.2+1)*$N$3,"""")"),"")</f>
        <v/>
      </c>
      <c r="F33" s="16" t="str">
        <f t="shared" ca="1" si="1"/>
        <v/>
      </c>
      <c r="G33" s="16"/>
      <c r="H33" s="22" t="str">
        <f ca="1">IFERROR(__xludf.dummyfunction("iferror(1000+INT(($N$4-(index(split(G33,"":""),1)*60+index(split(G33,"":""),2 )))/0.2+1)*$N$5,"""")"),"")</f>
        <v/>
      </c>
      <c r="I33" s="16" t="str">
        <f t="shared" ca="1" si="2"/>
        <v/>
      </c>
      <c r="J33" s="16" t="str">
        <f t="shared" si="4"/>
        <v/>
      </c>
      <c r="K33" s="16" t="str">
        <f t="shared" si="3"/>
        <v/>
      </c>
      <c r="L33" s="16"/>
    </row>
    <row r="34" spans="1:12" ht="14.5" x14ac:dyDescent="0.35">
      <c r="A34" s="16"/>
      <c r="B34" s="16"/>
      <c r="C34" s="16"/>
      <c r="D34" s="16"/>
      <c r="E34" s="22" t="str">
        <f ca="1">IFERROR(__xludf.dummyfunction("iferror(1000+INT(($N$2-(index(split(D34,"":""),1)*60+index(split(D34,"":""),2 )))/0.2+1)*$N$3,"""")"),"")</f>
        <v/>
      </c>
      <c r="F34" s="16" t="str">
        <f t="shared" ref="F34:F65" ca="1" si="5">IFERROR(_xlfn.RANK.EQ(E34,E:E),"")</f>
        <v/>
      </c>
      <c r="G34" s="16"/>
      <c r="H34" s="22" t="str">
        <f ca="1">IFERROR(__xludf.dummyfunction("iferror(1000+INT(($N$4-(index(split(G34,"":""),1)*60+index(split(G34,"":""),2 )))/0.2+1)*$N$5,"""")"),"")</f>
        <v/>
      </c>
      <c r="I34" s="16" t="str">
        <f t="shared" ref="I34:I65" ca="1" si="6">IFERROR(_xlfn.RANK.EQ(H34,H:H),"")</f>
        <v/>
      </c>
      <c r="J34" s="16" t="str">
        <f t="shared" ref="J34:J65" si="7">IF(AND(D34="", G34=""), "", E34+H34)</f>
        <v/>
      </c>
      <c r="K34" s="16" t="str">
        <f t="shared" ref="K34:K65" si="8">IFERROR(_xlfn.RANK.EQ(J34,J:J),"")</f>
        <v/>
      </c>
      <c r="L34" s="16"/>
    </row>
    <row r="35" spans="1:12" ht="14.5" x14ac:dyDescent="0.35">
      <c r="A35" s="16"/>
      <c r="B35" s="16"/>
      <c r="C35" s="16"/>
      <c r="D35" s="16"/>
      <c r="E35" s="22" t="str">
        <f ca="1">IFERROR(__xludf.dummyfunction("iferror(1000+INT(($N$2-(index(split(D35,"":""),1)*60+index(split(D35,"":""),2 )))/0.2+1)*$N$3,"""")"),"")</f>
        <v/>
      </c>
      <c r="F35" s="16" t="str">
        <f t="shared" ca="1" si="5"/>
        <v/>
      </c>
      <c r="G35" s="16"/>
      <c r="H35" s="22" t="str">
        <f ca="1">IFERROR(__xludf.dummyfunction("iferror(1000+INT(($N$4-(index(split(G35,"":""),1)*60+index(split(G35,"":""),2 )))/0.2+1)*$N$5,"""")"),"")</f>
        <v/>
      </c>
      <c r="I35" s="16" t="str">
        <f t="shared" ca="1" si="6"/>
        <v/>
      </c>
      <c r="J35" s="16" t="str">
        <f t="shared" si="7"/>
        <v/>
      </c>
      <c r="K35" s="16" t="str">
        <f t="shared" si="8"/>
        <v/>
      </c>
      <c r="L35" s="16"/>
    </row>
    <row r="36" spans="1:12" ht="14.5" x14ac:dyDescent="0.35">
      <c r="A36" s="16"/>
      <c r="B36" s="16"/>
      <c r="C36" s="16"/>
      <c r="D36" s="16"/>
      <c r="E36" s="22" t="str">
        <f ca="1">IFERROR(__xludf.dummyfunction("iferror(1000+INT(($N$2-(index(split(D36,"":""),1)*60+index(split(D36,"":""),2 )))/0.2+1)*$N$3,"""")"),"")</f>
        <v/>
      </c>
      <c r="F36" s="16" t="str">
        <f t="shared" ca="1" si="5"/>
        <v/>
      </c>
      <c r="G36" s="16"/>
      <c r="H36" s="22" t="str">
        <f ca="1">IFERROR(__xludf.dummyfunction("iferror(1000+INT(($N$4-(index(split(G36,"":""),1)*60+index(split(G36,"":""),2 )))/0.2+1)*$N$5,"""")"),"")</f>
        <v/>
      </c>
      <c r="I36" s="16" t="str">
        <f t="shared" ca="1" si="6"/>
        <v/>
      </c>
      <c r="J36" s="16" t="str">
        <f t="shared" si="7"/>
        <v/>
      </c>
      <c r="K36" s="16" t="str">
        <f t="shared" si="8"/>
        <v/>
      </c>
      <c r="L36" s="16"/>
    </row>
    <row r="37" spans="1:12" ht="14.5" x14ac:dyDescent="0.35">
      <c r="A37" s="16"/>
      <c r="B37" s="16"/>
      <c r="C37" s="16"/>
      <c r="D37" s="16"/>
      <c r="E37" s="22" t="str">
        <f ca="1">IFERROR(__xludf.dummyfunction("iferror(1000+INT(($N$2-(index(split(D37,"":""),1)*60+index(split(D37,"":""),2 )))/0.2+1)*$N$3,"""")"),"")</f>
        <v/>
      </c>
      <c r="F37" s="16" t="str">
        <f t="shared" ca="1" si="5"/>
        <v/>
      </c>
      <c r="G37" s="16"/>
      <c r="H37" s="22" t="str">
        <f ca="1">IFERROR(__xludf.dummyfunction("iferror(1000+INT(($N$4-(index(split(G37,"":""),1)*60+index(split(G37,"":""),2 )))/0.2+1)*$N$5,"""")"),"")</f>
        <v/>
      </c>
      <c r="I37" s="16" t="str">
        <f t="shared" ca="1" si="6"/>
        <v/>
      </c>
      <c r="J37" s="16" t="str">
        <f t="shared" si="7"/>
        <v/>
      </c>
      <c r="K37" s="16" t="str">
        <f t="shared" si="8"/>
        <v/>
      </c>
      <c r="L37" s="16"/>
    </row>
    <row r="38" spans="1:12" ht="14.5" x14ac:dyDescent="0.35">
      <c r="A38" s="16"/>
      <c r="B38" s="16"/>
      <c r="C38" s="16"/>
      <c r="D38" s="16"/>
      <c r="E38" s="22" t="str">
        <f ca="1">IFERROR(__xludf.dummyfunction("iferror(1000+INT(($N$2-(index(split(D38,"":""),1)*60+index(split(D38,"":""),2 )))/0.2+1)*$N$3,"""")"),"")</f>
        <v/>
      </c>
      <c r="F38" s="16" t="str">
        <f t="shared" ca="1" si="5"/>
        <v/>
      </c>
      <c r="G38" s="16"/>
      <c r="H38" s="22" t="str">
        <f ca="1">IFERROR(__xludf.dummyfunction("iferror(1000+INT(($N$4-(index(split(G38,"":""),1)*60+index(split(G38,"":""),2 )))/0.2+1)*$N$5,"""")"),"")</f>
        <v/>
      </c>
      <c r="I38" s="16" t="str">
        <f t="shared" ca="1" si="6"/>
        <v/>
      </c>
      <c r="J38" s="16" t="str">
        <f t="shared" si="7"/>
        <v/>
      </c>
      <c r="K38" s="16" t="str">
        <f t="shared" si="8"/>
        <v/>
      </c>
      <c r="L38" s="16"/>
    </row>
    <row r="39" spans="1:12" ht="14.5" x14ac:dyDescent="0.35">
      <c r="A39" s="16"/>
      <c r="B39" s="16"/>
      <c r="C39" s="16"/>
      <c r="D39" s="16"/>
      <c r="E39" s="22" t="str">
        <f ca="1">IFERROR(__xludf.dummyfunction("iferror(1000+INT(($N$2-(index(split(D39,"":""),1)*60+index(split(D39,"":""),2 )))/0.2+1)*$N$3,"""")"),"")</f>
        <v/>
      </c>
      <c r="F39" s="16" t="str">
        <f t="shared" ca="1" si="5"/>
        <v/>
      </c>
      <c r="G39" s="16"/>
      <c r="H39" s="22" t="str">
        <f ca="1">IFERROR(__xludf.dummyfunction("iferror(1000+INT(($N$4-(index(split(G39,"":""),1)*60+index(split(G39,"":""),2 )))/0.2+1)*$N$5,"""")"),"")</f>
        <v/>
      </c>
      <c r="I39" s="16" t="str">
        <f t="shared" ca="1" si="6"/>
        <v/>
      </c>
      <c r="J39" s="16" t="str">
        <f t="shared" si="7"/>
        <v/>
      </c>
      <c r="K39" s="16" t="str">
        <f t="shared" si="8"/>
        <v/>
      </c>
      <c r="L39" s="16"/>
    </row>
    <row r="40" spans="1:12" ht="14.5" x14ac:dyDescent="0.35">
      <c r="A40" s="16"/>
      <c r="B40" s="16"/>
      <c r="C40" s="16"/>
      <c r="D40" s="16"/>
      <c r="E40" s="22" t="str">
        <f ca="1">IFERROR(__xludf.dummyfunction("iferror(1000+INT(($N$2-(index(split(D40,"":""),1)*60+index(split(D40,"":""),2 )))/0.2+1)*$N$3,"""")"),"")</f>
        <v/>
      </c>
      <c r="F40" s="16" t="str">
        <f t="shared" ca="1" si="5"/>
        <v/>
      </c>
      <c r="G40" s="16"/>
      <c r="H40" s="22" t="str">
        <f ca="1">IFERROR(__xludf.dummyfunction("iferror(1000+INT(($N$4-(index(split(G40,"":""),1)*60+index(split(G40,"":""),2 )))/0.2+1)*$N$5,"""")"),"")</f>
        <v/>
      </c>
      <c r="I40" s="16" t="str">
        <f t="shared" ca="1" si="6"/>
        <v/>
      </c>
      <c r="J40" s="16" t="str">
        <f t="shared" si="7"/>
        <v/>
      </c>
      <c r="K40" s="16" t="str">
        <f t="shared" si="8"/>
        <v/>
      </c>
      <c r="L40" s="16"/>
    </row>
    <row r="41" spans="1:12" ht="14.5" x14ac:dyDescent="0.35">
      <c r="A41" s="16"/>
      <c r="B41" s="16"/>
      <c r="C41" s="16"/>
      <c r="D41" s="16"/>
      <c r="E41" s="22" t="str">
        <f ca="1">IFERROR(__xludf.dummyfunction("iferror(1000+INT(($N$2-(index(split(D41,"":""),1)*60+index(split(D41,"":""),2 )))/0.2+1)*$N$3,"""")"),"")</f>
        <v/>
      </c>
      <c r="F41" s="16" t="str">
        <f t="shared" ca="1" si="5"/>
        <v/>
      </c>
      <c r="G41" s="16"/>
      <c r="H41" s="22" t="str">
        <f ca="1">IFERROR(__xludf.dummyfunction("iferror(1000+INT(($N$4-(index(split(G41,"":""),1)*60+index(split(G41,"":""),2 )))/0.2+1)*$N$5,"""")"),"")</f>
        <v/>
      </c>
      <c r="I41" s="16" t="str">
        <f t="shared" ca="1" si="6"/>
        <v/>
      </c>
      <c r="J41" s="16" t="str">
        <f t="shared" si="7"/>
        <v/>
      </c>
      <c r="K41" s="16" t="str">
        <f t="shared" si="8"/>
        <v/>
      </c>
      <c r="L41" s="16"/>
    </row>
    <row r="42" spans="1:12" ht="14.5" x14ac:dyDescent="0.35">
      <c r="A42" s="16"/>
      <c r="B42" s="16"/>
      <c r="C42" s="16"/>
      <c r="D42" s="16"/>
      <c r="E42" s="22" t="str">
        <f ca="1">IFERROR(__xludf.dummyfunction("iferror(1000+INT(($N$2-(index(split(D42,"":""),1)*60+index(split(D42,"":""),2 )))/0.2+1)*$N$3,"""")"),"")</f>
        <v/>
      </c>
      <c r="F42" s="16" t="str">
        <f t="shared" ca="1" si="5"/>
        <v/>
      </c>
      <c r="G42" s="16"/>
      <c r="H42" s="22" t="str">
        <f ca="1">IFERROR(__xludf.dummyfunction("iferror(1000+INT(($N$4-(index(split(G42,"":""),1)*60+index(split(G42,"":""),2 )))/0.2+1)*$N$5,"""")"),"")</f>
        <v/>
      </c>
      <c r="I42" s="16" t="str">
        <f t="shared" ca="1" si="6"/>
        <v/>
      </c>
      <c r="J42" s="16" t="str">
        <f t="shared" si="7"/>
        <v/>
      </c>
      <c r="K42" s="16" t="str">
        <f t="shared" si="8"/>
        <v/>
      </c>
      <c r="L42" s="16"/>
    </row>
    <row r="43" spans="1:12" ht="14.5" x14ac:dyDescent="0.35">
      <c r="A43" s="16"/>
      <c r="B43" s="16"/>
      <c r="C43" s="16"/>
      <c r="D43" s="16"/>
      <c r="E43" s="22" t="str">
        <f ca="1">IFERROR(__xludf.dummyfunction("iferror(1000+INT(($N$2-(index(split(D43,"":""),1)*60+index(split(D43,"":""),2 )))/0.2+1)*$N$3,"""")"),"")</f>
        <v/>
      </c>
      <c r="F43" s="16" t="str">
        <f t="shared" ca="1" si="5"/>
        <v/>
      </c>
      <c r="G43" s="16"/>
      <c r="H43" s="22" t="str">
        <f ca="1">IFERROR(__xludf.dummyfunction("iferror(1000+INT(($N$4-(index(split(G43,"":""),1)*60+index(split(G43,"":""),2 )))/0.2+1)*$N$5,"""")"),"")</f>
        <v/>
      </c>
      <c r="I43" s="16" t="str">
        <f t="shared" ca="1" si="6"/>
        <v/>
      </c>
      <c r="J43" s="16" t="str">
        <f t="shared" si="7"/>
        <v/>
      </c>
      <c r="K43" s="16" t="str">
        <f t="shared" si="8"/>
        <v/>
      </c>
      <c r="L43" s="16"/>
    </row>
    <row r="44" spans="1:12" ht="14.5" x14ac:dyDescent="0.35">
      <c r="A44" s="16"/>
      <c r="B44" s="16"/>
      <c r="C44" s="16"/>
      <c r="D44" s="16"/>
      <c r="E44" s="22" t="str">
        <f ca="1">IFERROR(__xludf.dummyfunction("iferror(1000+INT(($N$2-(index(split(D44,"":""),1)*60+index(split(D44,"":""),2 )))/0.2+1)*$N$3,"""")"),"")</f>
        <v/>
      </c>
      <c r="F44" s="16" t="str">
        <f t="shared" ca="1" si="5"/>
        <v/>
      </c>
      <c r="G44" s="16"/>
      <c r="H44" s="22" t="str">
        <f ca="1">IFERROR(__xludf.dummyfunction("iferror(1000+INT(($N$4-(index(split(G44,"":""),1)*60+index(split(G44,"":""),2 )))/0.2+1)*$N$5,"""")"),"")</f>
        <v/>
      </c>
      <c r="I44" s="16" t="str">
        <f t="shared" ca="1" si="6"/>
        <v/>
      </c>
      <c r="J44" s="16" t="str">
        <f t="shared" si="7"/>
        <v/>
      </c>
      <c r="K44" s="16" t="str">
        <f t="shared" si="8"/>
        <v/>
      </c>
      <c r="L44" s="16"/>
    </row>
    <row r="45" spans="1:12" ht="14.5" x14ac:dyDescent="0.35">
      <c r="A45" s="16"/>
      <c r="B45" s="16"/>
      <c r="C45" s="16"/>
      <c r="D45" s="16"/>
      <c r="E45" s="22" t="str">
        <f ca="1">IFERROR(__xludf.dummyfunction("iferror(1000+INT(($N$2-(index(split(D45,"":""),1)*60+index(split(D45,"":""),2 )))/0.2+1)*$N$3,"""")"),"")</f>
        <v/>
      </c>
      <c r="F45" s="16" t="str">
        <f t="shared" ca="1" si="5"/>
        <v/>
      </c>
      <c r="G45" s="16"/>
      <c r="H45" s="22" t="str">
        <f ca="1">IFERROR(__xludf.dummyfunction("iferror(1000+INT(($N$4-(index(split(G45,"":""),1)*60+index(split(G45,"":""),2 )))/0.2+1)*$N$5,"""")"),"")</f>
        <v/>
      </c>
      <c r="I45" s="16" t="str">
        <f t="shared" ca="1" si="6"/>
        <v/>
      </c>
      <c r="J45" s="16" t="str">
        <f t="shared" si="7"/>
        <v/>
      </c>
      <c r="K45" s="16" t="str">
        <f t="shared" si="8"/>
        <v/>
      </c>
      <c r="L45" s="16"/>
    </row>
    <row r="46" spans="1:12" ht="14.5" x14ac:dyDescent="0.35">
      <c r="A46" s="16"/>
      <c r="B46" s="16"/>
      <c r="C46" s="16"/>
      <c r="D46" s="16"/>
      <c r="E46" s="22" t="str">
        <f ca="1">IFERROR(__xludf.dummyfunction("iferror(1000+INT(($N$2-(index(split(D46,"":""),1)*60+index(split(D46,"":""),2 )))/0.2+1)*$N$3,"""")"),"")</f>
        <v/>
      </c>
      <c r="F46" s="16" t="str">
        <f t="shared" ca="1" si="5"/>
        <v/>
      </c>
      <c r="G46" s="16"/>
      <c r="H46" s="22" t="str">
        <f ca="1">IFERROR(__xludf.dummyfunction("iferror(1000+INT(($N$4-(index(split(G46,"":""),1)*60+index(split(G46,"":""),2 )))/0.2+1)*$N$5,"""")"),"")</f>
        <v/>
      </c>
      <c r="I46" s="16" t="str">
        <f t="shared" ca="1" si="6"/>
        <v/>
      </c>
      <c r="J46" s="16" t="str">
        <f t="shared" si="7"/>
        <v/>
      </c>
      <c r="K46" s="16" t="str">
        <f t="shared" si="8"/>
        <v/>
      </c>
      <c r="L46" s="16"/>
    </row>
    <row r="47" spans="1:12" ht="14.5" x14ac:dyDescent="0.35">
      <c r="A47" s="16"/>
      <c r="B47" s="16"/>
      <c r="C47" s="16"/>
      <c r="D47" s="16"/>
      <c r="E47" s="22" t="str">
        <f ca="1">IFERROR(__xludf.dummyfunction("iferror(1000+INT(($N$2-(index(split(D47,"":""),1)*60+index(split(D47,"":""),2 )))/0.2+1)*$N$3,"""")"),"")</f>
        <v/>
      </c>
      <c r="F47" s="16" t="str">
        <f t="shared" ca="1" si="5"/>
        <v/>
      </c>
      <c r="G47" s="16"/>
      <c r="H47" s="22" t="str">
        <f ca="1">IFERROR(__xludf.dummyfunction("iferror(1000+INT(($N$4-(index(split(G47,"":""),1)*60+index(split(G47,"":""),2 )))/0.2+1)*$N$5,"""")"),"")</f>
        <v/>
      </c>
      <c r="I47" s="16" t="str">
        <f t="shared" ca="1" si="6"/>
        <v/>
      </c>
      <c r="J47" s="16" t="str">
        <f t="shared" si="7"/>
        <v/>
      </c>
      <c r="K47" s="16" t="str">
        <f t="shared" si="8"/>
        <v/>
      </c>
      <c r="L47" s="16"/>
    </row>
    <row r="48" spans="1:12" ht="14.5" x14ac:dyDescent="0.35">
      <c r="A48" s="16"/>
      <c r="B48" s="16"/>
      <c r="C48" s="16"/>
      <c r="D48" s="16"/>
      <c r="E48" s="22" t="str">
        <f ca="1">IFERROR(__xludf.dummyfunction("iferror(1000+INT(($N$2-(index(split(D48,"":""),1)*60+index(split(D48,"":""),2 )))/0.2+1)*$N$3,"""")"),"")</f>
        <v/>
      </c>
      <c r="F48" s="16" t="str">
        <f t="shared" ca="1" si="5"/>
        <v/>
      </c>
      <c r="G48" s="16"/>
      <c r="H48" s="22" t="str">
        <f ca="1">IFERROR(__xludf.dummyfunction("iferror(1000+INT(($N$4-(index(split(G48,"":""),1)*60+index(split(G48,"":""),2 )))/0.2+1)*$N$5,"""")"),"")</f>
        <v/>
      </c>
      <c r="I48" s="16" t="str">
        <f t="shared" ca="1" si="6"/>
        <v/>
      </c>
      <c r="J48" s="16" t="str">
        <f t="shared" si="7"/>
        <v/>
      </c>
      <c r="K48" s="16" t="str">
        <f t="shared" si="8"/>
        <v/>
      </c>
      <c r="L48" s="16"/>
    </row>
    <row r="49" spans="1:12" ht="14.5" x14ac:dyDescent="0.35">
      <c r="A49" s="16"/>
      <c r="B49" s="16"/>
      <c r="C49" s="16"/>
      <c r="D49" s="16"/>
      <c r="E49" s="22" t="str">
        <f ca="1">IFERROR(__xludf.dummyfunction("iferror(1000+INT(($N$2-(index(split(D49,"":""),1)*60+index(split(D49,"":""),2 )))/0.2+1)*$N$3,"""")"),"")</f>
        <v/>
      </c>
      <c r="F49" s="16" t="str">
        <f t="shared" ca="1" si="5"/>
        <v/>
      </c>
      <c r="G49" s="16"/>
      <c r="H49" s="22" t="str">
        <f ca="1">IFERROR(__xludf.dummyfunction("iferror(1000+INT(($N$4-(index(split(G49,"":""),1)*60+index(split(G49,"":""),2 )))/0.2+1)*$N$5,"""")"),"")</f>
        <v/>
      </c>
      <c r="I49" s="16" t="str">
        <f t="shared" ca="1" si="6"/>
        <v/>
      </c>
      <c r="J49" s="16" t="str">
        <f t="shared" si="7"/>
        <v/>
      </c>
      <c r="K49" s="16" t="str">
        <f t="shared" si="8"/>
        <v/>
      </c>
      <c r="L49" s="16"/>
    </row>
    <row r="50" spans="1:12" ht="14.5" x14ac:dyDescent="0.35">
      <c r="A50" s="16"/>
      <c r="B50" s="16"/>
      <c r="C50" s="16"/>
      <c r="D50" s="16"/>
      <c r="E50" s="22" t="str">
        <f ca="1">IFERROR(__xludf.dummyfunction("iferror(1000+INT(($N$2-(index(split(D50,"":""),1)*60+index(split(D50,"":""),2 )))/0.2+1)*$N$3,"""")"),"")</f>
        <v/>
      </c>
      <c r="F50" s="16" t="str">
        <f t="shared" ca="1" si="5"/>
        <v/>
      </c>
      <c r="G50" s="16"/>
      <c r="H50" s="22" t="str">
        <f ca="1">IFERROR(__xludf.dummyfunction("iferror(1000+INT(($N$4-(index(split(G50,"":""),1)*60+index(split(G50,"":""),2 )))/0.2+1)*$N$5,"""")"),"")</f>
        <v/>
      </c>
      <c r="I50" s="16" t="str">
        <f t="shared" ca="1" si="6"/>
        <v/>
      </c>
      <c r="J50" s="16" t="str">
        <f t="shared" si="7"/>
        <v/>
      </c>
      <c r="K50" s="16" t="str">
        <f t="shared" si="8"/>
        <v/>
      </c>
      <c r="L50" s="16"/>
    </row>
    <row r="51" spans="1:12" ht="14.5" x14ac:dyDescent="0.35">
      <c r="A51" s="16"/>
      <c r="B51" s="16"/>
      <c r="C51" s="16"/>
      <c r="D51" s="16"/>
      <c r="E51" s="22" t="str">
        <f ca="1">IFERROR(__xludf.dummyfunction("iferror(1000+INT(($N$2-(index(split(D51,"":""),1)*60+index(split(D51,"":""),2 )))/0.2+1)*$N$3,"""")"),"")</f>
        <v/>
      </c>
      <c r="F51" s="16" t="str">
        <f t="shared" ca="1" si="5"/>
        <v/>
      </c>
      <c r="G51" s="16"/>
      <c r="H51" s="22" t="str">
        <f ca="1">IFERROR(__xludf.dummyfunction("iferror(1000+INT(($N$4-(index(split(G51,"":""),1)*60+index(split(G51,"":""),2 )))/0.2+1)*$N$5,"""")"),"")</f>
        <v/>
      </c>
      <c r="I51" s="16" t="str">
        <f t="shared" ca="1" si="6"/>
        <v/>
      </c>
      <c r="J51" s="16" t="str">
        <f t="shared" si="7"/>
        <v/>
      </c>
      <c r="K51" s="16" t="str">
        <f t="shared" si="8"/>
        <v/>
      </c>
      <c r="L51" s="16"/>
    </row>
    <row r="52" spans="1:12" ht="14.5" x14ac:dyDescent="0.35">
      <c r="A52" s="16"/>
      <c r="B52" s="16"/>
      <c r="C52" s="16"/>
      <c r="D52" s="16"/>
      <c r="E52" s="22" t="str">
        <f ca="1">IFERROR(__xludf.dummyfunction("iferror(1000+INT(($N$2-(index(split(D52,"":""),1)*60+index(split(D52,"":""),2 )))/0.2+1)*$N$3,"""")"),"")</f>
        <v/>
      </c>
      <c r="F52" s="16" t="str">
        <f t="shared" ca="1" si="5"/>
        <v/>
      </c>
      <c r="G52" s="16"/>
      <c r="H52" s="22" t="str">
        <f ca="1">IFERROR(__xludf.dummyfunction("iferror(1000+INT(($N$4-(index(split(G52,"":""),1)*60+index(split(G52,"":""),2 )))/0.2+1)*$N$5,"""")"),"")</f>
        <v/>
      </c>
      <c r="I52" s="16" t="str">
        <f t="shared" ca="1" si="6"/>
        <v/>
      </c>
      <c r="J52" s="16" t="str">
        <f t="shared" si="7"/>
        <v/>
      </c>
      <c r="K52" s="16" t="str">
        <f t="shared" si="8"/>
        <v/>
      </c>
      <c r="L52" s="16"/>
    </row>
    <row r="53" spans="1:12" ht="14.5" x14ac:dyDescent="0.35">
      <c r="A53" s="16"/>
      <c r="B53" s="16"/>
      <c r="C53" s="16"/>
      <c r="D53" s="16"/>
      <c r="E53" s="22" t="str">
        <f ca="1">IFERROR(__xludf.dummyfunction("iferror(1000+INT(($N$2-(index(split(D53,"":""),1)*60+index(split(D53,"":""),2 )))/0.2+1)*$N$3,"""")"),"")</f>
        <v/>
      </c>
      <c r="F53" s="16" t="str">
        <f t="shared" ca="1" si="5"/>
        <v/>
      </c>
      <c r="G53" s="16"/>
      <c r="H53" s="22" t="str">
        <f ca="1">IFERROR(__xludf.dummyfunction("iferror(1000+INT(($N$4-(index(split(G53,"":""),1)*60+index(split(G53,"":""),2 )))/0.2+1)*$N$5,"""")"),"")</f>
        <v/>
      </c>
      <c r="I53" s="16" t="str">
        <f t="shared" ca="1" si="6"/>
        <v/>
      </c>
      <c r="J53" s="16" t="str">
        <f t="shared" si="7"/>
        <v/>
      </c>
      <c r="K53" s="16" t="str">
        <f t="shared" si="8"/>
        <v/>
      </c>
      <c r="L53" s="16"/>
    </row>
    <row r="54" spans="1:12" ht="14.5" x14ac:dyDescent="0.35">
      <c r="A54" s="16"/>
      <c r="B54" s="16"/>
      <c r="C54" s="16"/>
      <c r="D54" s="16"/>
      <c r="E54" s="22" t="str">
        <f ca="1">IFERROR(__xludf.dummyfunction("iferror(1000+INT(($N$2-(index(split(D54,"":""),1)*60+index(split(D54,"":""),2 )))/0.2+1)*$N$3,"""")"),"")</f>
        <v/>
      </c>
      <c r="F54" s="16" t="str">
        <f t="shared" ca="1" si="5"/>
        <v/>
      </c>
      <c r="G54" s="16"/>
      <c r="H54" s="22" t="str">
        <f ca="1">IFERROR(__xludf.dummyfunction("iferror(1000+INT(($N$4-(index(split(G54,"":""),1)*60+index(split(G54,"":""),2 )))/0.2+1)*$N$5,"""")"),"")</f>
        <v/>
      </c>
      <c r="I54" s="16" t="str">
        <f t="shared" ca="1" si="6"/>
        <v/>
      </c>
      <c r="J54" s="16" t="str">
        <f t="shared" si="7"/>
        <v/>
      </c>
      <c r="K54" s="16" t="str">
        <f t="shared" si="8"/>
        <v/>
      </c>
      <c r="L54" s="16"/>
    </row>
    <row r="55" spans="1:12" ht="14.5" x14ac:dyDescent="0.35">
      <c r="A55" s="16"/>
      <c r="B55" s="16"/>
      <c r="C55" s="16"/>
      <c r="D55" s="16"/>
      <c r="E55" s="22" t="str">
        <f ca="1">IFERROR(__xludf.dummyfunction("iferror(1000+INT(($N$2-(index(split(D55,"":""),1)*60+index(split(D55,"":""),2 )))/0.2+1)*$N$3,"""")"),"")</f>
        <v/>
      </c>
      <c r="F55" s="16" t="str">
        <f t="shared" ca="1" si="5"/>
        <v/>
      </c>
      <c r="G55" s="16"/>
      <c r="H55" s="22" t="str">
        <f ca="1">IFERROR(__xludf.dummyfunction("iferror(1000+INT(($N$4-(index(split(G55,"":""),1)*60+index(split(G55,"":""),2 )))/0.2+1)*$N$5,"""")"),"")</f>
        <v/>
      </c>
      <c r="I55" s="16" t="str">
        <f t="shared" ca="1" si="6"/>
        <v/>
      </c>
      <c r="J55" s="16" t="str">
        <f t="shared" si="7"/>
        <v/>
      </c>
      <c r="K55" s="16" t="str">
        <f t="shared" si="8"/>
        <v/>
      </c>
      <c r="L55" s="16"/>
    </row>
    <row r="56" spans="1:12" ht="14.5" x14ac:dyDescent="0.35">
      <c r="A56" s="16"/>
      <c r="B56" s="16"/>
      <c r="C56" s="16"/>
      <c r="D56" s="16"/>
      <c r="E56" s="22" t="str">
        <f ca="1">IFERROR(__xludf.dummyfunction("iferror(1000+INT(($N$2-(index(split(D56,"":""),1)*60+index(split(D56,"":""),2 )))/0.2+1)*$N$3,"""")"),"")</f>
        <v/>
      </c>
      <c r="F56" s="16" t="str">
        <f t="shared" ca="1" si="5"/>
        <v/>
      </c>
      <c r="G56" s="16"/>
      <c r="H56" s="22" t="str">
        <f ca="1">IFERROR(__xludf.dummyfunction("iferror(1000+INT(($N$4-(index(split(G56,"":""),1)*60+index(split(G56,"":""),2 )))/0.2+1)*$N$5,"""")"),"")</f>
        <v/>
      </c>
      <c r="I56" s="16" t="str">
        <f t="shared" ca="1" si="6"/>
        <v/>
      </c>
      <c r="J56" s="16" t="str">
        <f t="shared" si="7"/>
        <v/>
      </c>
      <c r="K56" s="16" t="str">
        <f t="shared" si="8"/>
        <v/>
      </c>
      <c r="L56" s="16"/>
    </row>
    <row r="57" spans="1:12" ht="14.5" x14ac:dyDescent="0.35">
      <c r="A57" s="16"/>
      <c r="B57" s="16"/>
      <c r="C57" s="16"/>
      <c r="D57" s="16"/>
      <c r="E57" s="22" t="str">
        <f ca="1">IFERROR(__xludf.dummyfunction("iferror(1000+INT(($N$2-(index(split(D57,"":""),1)*60+index(split(D57,"":""),2 )))/0.2+1)*$N$3,"""")"),"")</f>
        <v/>
      </c>
      <c r="F57" s="16" t="str">
        <f t="shared" ca="1" si="5"/>
        <v/>
      </c>
      <c r="G57" s="16"/>
      <c r="H57" s="22" t="str">
        <f ca="1">IFERROR(__xludf.dummyfunction("iferror(1000+INT(($N$4-(index(split(G57,"":""),1)*60+index(split(G57,"":""),2 )))/0.2+1)*$N$5,"""")"),"")</f>
        <v/>
      </c>
      <c r="I57" s="16" t="str">
        <f t="shared" ca="1" si="6"/>
        <v/>
      </c>
      <c r="J57" s="16" t="str">
        <f t="shared" si="7"/>
        <v/>
      </c>
      <c r="K57" s="16" t="str">
        <f t="shared" si="8"/>
        <v/>
      </c>
      <c r="L57" s="16"/>
    </row>
    <row r="58" spans="1:12" ht="14.5" x14ac:dyDescent="0.35">
      <c r="A58" s="16"/>
      <c r="B58" s="16"/>
      <c r="C58" s="16"/>
      <c r="D58" s="16"/>
      <c r="E58" s="22" t="str">
        <f ca="1">IFERROR(__xludf.dummyfunction("iferror(1000+INT(($N$2-(index(split(D58,"":""),1)*60+index(split(D58,"":""),2 )))/0.2+1)*$N$3,"""")"),"")</f>
        <v/>
      </c>
      <c r="F58" s="16" t="str">
        <f t="shared" ca="1" si="5"/>
        <v/>
      </c>
      <c r="G58" s="16"/>
      <c r="H58" s="22" t="str">
        <f ca="1">IFERROR(__xludf.dummyfunction("iferror(1000+INT(($N$4-(index(split(G58,"":""),1)*60+index(split(G58,"":""),2 )))/0.2+1)*$N$5,"""")"),"")</f>
        <v/>
      </c>
      <c r="I58" s="16" t="str">
        <f t="shared" ca="1" si="6"/>
        <v/>
      </c>
      <c r="J58" s="16" t="str">
        <f t="shared" si="7"/>
        <v/>
      </c>
      <c r="K58" s="16" t="str">
        <f t="shared" si="8"/>
        <v/>
      </c>
      <c r="L58" s="16"/>
    </row>
    <row r="59" spans="1:12" ht="14.5" x14ac:dyDescent="0.35">
      <c r="A59" s="16"/>
      <c r="B59" s="16"/>
      <c r="C59" s="16"/>
      <c r="D59" s="16"/>
      <c r="E59" s="22" t="str">
        <f ca="1">IFERROR(__xludf.dummyfunction("iferror(1000+INT(($N$2-(index(split(D59,"":""),1)*60+index(split(D59,"":""),2 )))/0.2+1)*$N$3,"""")"),"")</f>
        <v/>
      </c>
      <c r="F59" s="16" t="str">
        <f t="shared" ca="1" si="5"/>
        <v/>
      </c>
      <c r="G59" s="16"/>
      <c r="H59" s="22" t="str">
        <f ca="1">IFERROR(__xludf.dummyfunction("iferror(1000+INT(($N$4-(index(split(G59,"":""),1)*60+index(split(G59,"":""),2 )))/0.2+1)*$N$5,"""")"),"")</f>
        <v/>
      </c>
      <c r="I59" s="16" t="str">
        <f t="shared" ca="1" si="6"/>
        <v/>
      </c>
      <c r="J59" s="16" t="str">
        <f t="shared" si="7"/>
        <v/>
      </c>
      <c r="K59" s="16" t="str">
        <f t="shared" si="8"/>
        <v/>
      </c>
      <c r="L59" s="16"/>
    </row>
    <row r="60" spans="1:12" ht="14.5" x14ac:dyDescent="0.35">
      <c r="A60" s="16"/>
      <c r="B60" s="16"/>
      <c r="C60" s="16"/>
      <c r="D60" s="16"/>
      <c r="E60" s="22" t="str">
        <f ca="1">IFERROR(__xludf.dummyfunction("iferror(1000+INT(($N$2-(index(split(D60,"":""),1)*60+index(split(D60,"":""),2 )))/0.2+1)*$N$3,"""")"),"")</f>
        <v/>
      </c>
      <c r="F60" s="16" t="str">
        <f t="shared" ca="1" si="5"/>
        <v/>
      </c>
      <c r="G60" s="16"/>
      <c r="H60" s="22" t="str">
        <f ca="1">IFERROR(__xludf.dummyfunction("iferror(1000+INT(($N$4-(index(split(G60,"":""),1)*60+index(split(G60,"":""),2 )))/0.2+1)*$N$5,"""")"),"")</f>
        <v/>
      </c>
      <c r="I60" s="16" t="str">
        <f t="shared" ca="1" si="6"/>
        <v/>
      </c>
      <c r="J60" s="16" t="str">
        <f t="shared" si="7"/>
        <v/>
      </c>
      <c r="K60" s="16" t="str">
        <f t="shared" si="8"/>
        <v/>
      </c>
      <c r="L60" s="16"/>
    </row>
    <row r="61" spans="1:12" ht="14.5" x14ac:dyDescent="0.35">
      <c r="A61" s="16"/>
      <c r="B61" s="16"/>
      <c r="C61" s="16"/>
      <c r="D61" s="16"/>
      <c r="E61" s="22" t="str">
        <f ca="1">IFERROR(__xludf.dummyfunction("iferror(1000+INT(($N$2-(index(split(D61,"":""),1)*60+index(split(D61,"":""),2 )))/0.2+1)*$N$3,"""")"),"")</f>
        <v/>
      </c>
      <c r="F61" s="16" t="str">
        <f t="shared" ca="1" si="5"/>
        <v/>
      </c>
      <c r="G61" s="16"/>
      <c r="H61" s="22" t="str">
        <f ca="1">IFERROR(__xludf.dummyfunction("iferror(1000+INT(($N$4-(index(split(G61,"":""),1)*60+index(split(G61,"":""),2 )))/0.2+1)*$N$5,"""")"),"")</f>
        <v/>
      </c>
      <c r="I61" s="16" t="str">
        <f t="shared" ca="1" si="6"/>
        <v/>
      </c>
      <c r="J61" s="16" t="str">
        <f t="shared" si="7"/>
        <v/>
      </c>
      <c r="K61" s="16" t="str">
        <f t="shared" si="8"/>
        <v/>
      </c>
      <c r="L61" s="16"/>
    </row>
    <row r="62" spans="1:12" ht="14.5" x14ac:dyDescent="0.35">
      <c r="A62" s="16"/>
      <c r="B62" s="16"/>
      <c r="C62" s="16"/>
      <c r="D62" s="16"/>
      <c r="E62" s="22" t="str">
        <f ca="1">IFERROR(__xludf.dummyfunction("iferror(1000+INT(($N$2-(index(split(D62,"":""),1)*60+index(split(D62,"":""),2 )))/0.2+1)*$N$3,"""")"),"")</f>
        <v/>
      </c>
      <c r="F62" s="16" t="str">
        <f t="shared" ca="1" si="5"/>
        <v/>
      </c>
      <c r="G62" s="16"/>
      <c r="H62" s="22" t="str">
        <f ca="1">IFERROR(__xludf.dummyfunction("iferror(1000+INT(($N$4-(index(split(G62,"":""),1)*60+index(split(G62,"":""),2 )))/0.2+1)*$N$5,"""")"),"")</f>
        <v/>
      </c>
      <c r="I62" s="16" t="str">
        <f t="shared" ca="1" si="6"/>
        <v/>
      </c>
      <c r="J62" s="16" t="str">
        <f t="shared" si="7"/>
        <v/>
      </c>
      <c r="K62" s="16" t="str">
        <f t="shared" si="8"/>
        <v/>
      </c>
      <c r="L62" s="16"/>
    </row>
    <row r="63" spans="1:12" ht="14.5" x14ac:dyDescent="0.35">
      <c r="A63" s="16"/>
      <c r="B63" s="16"/>
      <c r="C63" s="16"/>
      <c r="D63" s="16"/>
      <c r="E63" s="22" t="str">
        <f ca="1">IFERROR(__xludf.dummyfunction("iferror(1000+INT(($N$2-(index(split(D63,"":""),1)*60+index(split(D63,"":""),2 )))/0.2+1)*$N$3,"""")"),"")</f>
        <v/>
      </c>
      <c r="F63" s="16" t="str">
        <f t="shared" ca="1" si="5"/>
        <v/>
      </c>
      <c r="G63" s="16"/>
      <c r="H63" s="22" t="str">
        <f ca="1">IFERROR(__xludf.dummyfunction("iferror(1000+INT(($N$4-(index(split(G63,"":""),1)*60+index(split(G63,"":""),2 )))/0.2+1)*$N$5,"""")"),"")</f>
        <v/>
      </c>
      <c r="I63" s="16" t="str">
        <f t="shared" ca="1" si="6"/>
        <v/>
      </c>
      <c r="J63" s="16" t="str">
        <f t="shared" si="7"/>
        <v/>
      </c>
      <c r="K63" s="16" t="str">
        <f t="shared" si="8"/>
        <v/>
      </c>
      <c r="L63" s="16"/>
    </row>
    <row r="64" spans="1:12" ht="14.5" x14ac:dyDescent="0.35">
      <c r="A64" s="16"/>
      <c r="B64" s="16"/>
      <c r="C64" s="16"/>
      <c r="D64" s="16"/>
      <c r="E64" s="22" t="str">
        <f ca="1">IFERROR(__xludf.dummyfunction("iferror(1000+INT(($N$2-(index(split(D64,"":""),1)*60+index(split(D64,"":""),2 )))/0.2+1)*$N$3,"""")"),"")</f>
        <v/>
      </c>
      <c r="F64" s="16" t="str">
        <f t="shared" ca="1" si="5"/>
        <v/>
      </c>
      <c r="G64" s="16"/>
      <c r="H64" s="22" t="str">
        <f ca="1">IFERROR(__xludf.dummyfunction("iferror(1000+INT(($N$4-(index(split(G64,"":""),1)*60+index(split(G64,"":""),2 )))/0.2+1)*$N$5,"""")"),"")</f>
        <v/>
      </c>
      <c r="I64" s="16" t="str">
        <f t="shared" ca="1" si="6"/>
        <v/>
      </c>
      <c r="J64" s="16" t="str">
        <f t="shared" si="7"/>
        <v/>
      </c>
      <c r="K64" s="16" t="str">
        <f t="shared" si="8"/>
        <v/>
      </c>
      <c r="L64" s="16"/>
    </row>
    <row r="65" spans="1:12" ht="14.5" x14ac:dyDescent="0.35">
      <c r="A65" s="16"/>
      <c r="B65" s="16"/>
      <c r="C65" s="16"/>
      <c r="D65" s="16"/>
      <c r="E65" s="22" t="str">
        <f ca="1">IFERROR(__xludf.dummyfunction("iferror(1000+INT(($N$2-(index(split(D65,"":""),1)*60+index(split(D65,"":""),2 )))/0.2+1)*$N$3,"""")"),"")</f>
        <v/>
      </c>
      <c r="F65" s="16" t="str">
        <f t="shared" ca="1" si="5"/>
        <v/>
      </c>
      <c r="G65" s="16"/>
      <c r="H65" s="22" t="str">
        <f ca="1">IFERROR(__xludf.dummyfunction("iferror(1000+INT(($N$4-(index(split(G65,"":""),1)*60+index(split(G65,"":""),2 )))/0.2+1)*$N$5,"""")"),"")</f>
        <v/>
      </c>
      <c r="I65" s="16" t="str">
        <f t="shared" ca="1" si="6"/>
        <v/>
      </c>
      <c r="J65" s="16" t="str">
        <f t="shared" si="7"/>
        <v/>
      </c>
      <c r="K65" s="16" t="str">
        <f t="shared" si="8"/>
        <v/>
      </c>
      <c r="L65" s="16"/>
    </row>
    <row r="66" spans="1:12" ht="14.5" x14ac:dyDescent="0.35">
      <c r="A66" s="16"/>
      <c r="B66" s="16"/>
      <c r="C66" s="16"/>
      <c r="D66" s="16"/>
      <c r="E66" s="22" t="str">
        <f ca="1">IFERROR(__xludf.dummyfunction("iferror(1000+INT(($N$2-(index(split(D66,"":""),1)*60+index(split(D66,"":""),2 )))/0.2+1)*$N$3,"""")"),"")</f>
        <v/>
      </c>
      <c r="F66" s="16" t="str">
        <f t="shared" ref="F66:F97" ca="1" si="9">IFERROR(_xlfn.RANK.EQ(E66,E:E),"")</f>
        <v/>
      </c>
      <c r="G66" s="16"/>
      <c r="H66" s="22" t="str">
        <f ca="1">IFERROR(__xludf.dummyfunction("iferror(1000+INT(($N$4-(index(split(G66,"":""),1)*60+index(split(G66,"":""),2 )))/0.2+1)*$N$5,"""")"),"")</f>
        <v/>
      </c>
      <c r="I66" s="16" t="str">
        <f t="shared" ref="I66:I97" ca="1" si="10">IFERROR(_xlfn.RANK.EQ(H66,H:H),"")</f>
        <v/>
      </c>
      <c r="J66" s="16" t="str">
        <f t="shared" ref="J66:J100" si="11">IF(AND(D66="", G66=""), "", E66+H66)</f>
        <v/>
      </c>
      <c r="K66" s="16" t="str">
        <f t="shared" ref="K66:K97" si="12">IFERROR(_xlfn.RANK.EQ(J66,J:J),"")</f>
        <v/>
      </c>
      <c r="L66" s="16"/>
    </row>
    <row r="67" spans="1:12" ht="14.5" x14ac:dyDescent="0.35">
      <c r="A67" s="16"/>
      <c r="B67" s="16"/>
      <c r="C67" s="16"/>
      <c r="D67" s="16"/>
      <c r="E67" s="22" t="str">
        <f ca="1">IFERROR(__xludf.dummyfunction("iferror(1000+INT(($N$2-(index(split(D67,"":""),1)*60+index(split(D67,"":""),2 )))/0.2+1)*$N$3,"""")"),"")</f>
        <v/>
      </c>
      <c r="F67" s="16" t="str">
        <f t="shared" ca="1" si="9"/>
        <v/>
      </c>
      <c r="G67" s="16"/>
      <c r="H67" s="22" t="str">
        <f ca="1">IFERROR(__xludf.dummyfunction("iferror(1000+INT(($N$4-(index(split(G67,"":""),1)*60+index(split(G67,"":""),2 )))/0.2+1)*$N$5,"""")"),"")</f>
        <v/>
      </c>
      <c r="I67" s="16" t="str">
        <f t="shared" ca="1" si="10"/>
        <v/>
      </c>
      <c r="J67" s="16" t="str">
        <f t="shared" si="11"/>
        <v/>
      </c>
      <c r="K67" s="16" t="str">
        <f t="shared" si="12"/>
        <v/>
      </c>
      <c r="L67" s="16"/>
    </row>
    <row r="68" spans="1:12" ht="14.5" x14ac:dyDescent="0.35">
      <c r="A68" s="16"/>
      <c r="B68" s="16"/>
      <c r="C68" s="16"/>
      <c r="D68" s="16"/>
      <c r="E68" s="22" t="str">
        <f ca="1">IFERROR(__xludf.dummyfunction("iferror(1000+INT(($N$2-(index(split(D68,"":""),1)*60+index(split(D68,"":""),2 )))/0.2+1)*$N$3,"""")"),"")</f>
        <v/>
      </c>
      <c r="F68" s="16" t="str">
        <f t="shared" ca="1" si="9"/>
        <v/>
      </c>
      <c r="G68" s="16"/>
      <c r="H68" s="22" t="str">
        <f ca="1">IFERROR(__xludf.dummyfunction("iferror(1000+INT(($N$4-(index(split(G68,"":""),1)*60+index(split(G68,"":""),2 )))/0.2+1)*$N$5,"""")"),"")</f>
        <v/>
      </c>
      <c r="I68" s="16" t="str">
        <f t="shared" ca="1" si="10"/>
        <v/>
      </c>
      <c r="J68" s="16" t="str">
        <f t="shared" si="11"/>
        <v/>
      </c>
      <c r="K68" s="16" t="str">
        <f t="shared" si="12"/>
        <v/>
      </c>
      <c r="L68" s="16"/>
    </row>
    <row r="69" spans="1:12" ht="14.5" x14ac:dyDescent="0.35">
      <c r="A69" s="16"/>
      <c r="B69" s="16"/>
      <c r="C69" s="16"/>
      <c r="D69" s="16"/>
      <c r="E69" s="22" t="str">
        <f ca="1">IFERROR(__xludf.dummyfunction("iferror(1000+INT(($N$2-(index(split(D69,"":""),1)*60+index(split(D69,"":""),2 )))/0.2+1)*$N$3,"""")"),"")</f>
        <v/>
      </c>
      <c r="F69" s="16" t="str">
        <f t="shared" ca="1" si="9"/>
        <v/>
      </c>
      <c r="G69" s="16"/>
      <c r="H69" s="22" t="str">
        <f ca="1">IFERROR(__xludf.dummyfunction("iferror(1000+INT(($N$4-(index(split(G69,"":""),1)*60+index(split(G69,"":""),2 )))/0.2+1)*$N$5,"""")"),"")</f>
        <v/>
      </c>
      <c r="I69" s="16" t="str">
        <f t="shared" ca="1" si="10"/>
        <v/>
      </c>
      <c r="J69" s="16" t="str">
        <f t="shared" si="11"/>
        <v/>
      </c>
      <c r="K69" s="16" t="str">
        <f t="shared" si="12"/>
        <v/>
      </c>
      <c r="L69" s="16"/>
    </row>
    <row r="70" spans="1:12" ht="14.5" x14ac:dyDescent="0.35">
      <c r="A70" s="16"/>
      <c r="B70" s="16"/>
      <c r="C70" s="16"/>
      <c r="D70" s="16"/>
      <c r="E70" s="22" t="str">
        <f ca="1">IFERROR(__xludf.dummyfunction("iferror(1000+INT(($N$2-(index(split(D70,"":""),1)*60+index(split(D70,"":""),2 )))/0.2+1)*$N$3,"""")"),"")</f>
        <v/>
      </c>
      <c r="F70" s="16" t="str">
        <f t="shared" ca="1" si="9"/>
        <v/>
      </c>
      <c r="G70" s="16"/>
      <c r="H70" s="22" t="str">
        <f ca="1">IFERROR(__xludf.dummyfunction("iferror(1000+INT(($N$4-(index(split(G70,"":""),1)*60+index(split(G70,"":""),2 )))/0.2+1)*$N$5,"""")"),"")</f>
        <v/>
      </c>
      <c r="I70" s="16" t="str">
        <f t="shared" ca="1" si="10"/>
        <v/>
      </c>
      <c r="J70" s="16" t="str">
        <f t="shared" si="11"/>
        <v/>
      </c>
      <c r="K70" s="16" t="str">
        <f t="shared" si="12"/>
        <v/>
      </c>
      <c r="L70" s="16"/>
    </row>
    <row r="71" spans="1:12" ht="14.5" x14ac:dyDescent="0.35">
      <c r="A71" s="16"/>
      <c r="B71" s="16"/>
      <c r="C71" s="16"/>
      <c r="D71" s="16"/>
      <c r="E71" s="22" t="str">
        <f ca="1">IFERROR(__xludf.dummyfunction("iferror(1000+INT(($N$2-(index(split(D71,"":""),1)*60+index(split(D71,"":""),2 )))/0.2+1)*$N$3,"""")"),"")</f>
        <v/>
      </c>
      <c r="F71" s="16" t="str">
        <f t="shared" ca="1" si="9"/>
        <v/>
      </c>
      <c r="G71" s="16"/>
      <c r="H71" s="22" t="str">
        <f ca="1">IFERROR(__xludf.dummyfunction("iferror(1000+INT(($N$4-(index(split(G71,"":""),1)*60+index(split(G71,"":""),2 )))/0.2+1)*$N$5,"""")"),"")</f>
        <v/>
      </c>
      <c r="I71" s="16" t="str">
        <f t="shared" ca="1" si="10"/>
        <v/>
      </c>
      <c r="J71" s="16" t="str">
        <f t="shared" si="11"/>
        <v/>
      </c>
      <c r="K71" s="16" t="str">
        <f t="shared" si="12"/>
        <v/>
      </c>
      <c r="L71" s="16"/>
    </row>
    <row r="72" spans="1:12" ht="14.5" x14ac:dyDescent="0.35">
      <c r="A72" s="16"/>
      <c r="B72" s="16"/>
      <c r="C72" s="16"/>
      <c r="D72" s="16"/>
      <c r="E72" s="22" t="str">
        <f ca="1">IFERROR(__xludf.dummyfunction("iferror(1000+INT(($N$2-(index(split(D72,"":""),1)*60+index(split(D72,"":""),2 )))/0.2+1)*$N$3,"""")"),"")</f>
        <v/>
      </c>
      <c r="F72" s="16" t="str">
        <f t="shared" ca="1" si="9"/>
        <v/>
      </c>
      <c r="G72" s="16"/>
      <c r="H72" s="22" t="str">
        <f ca="1">IFERROR(__xludf.dummyfunction("iferror(1000+INT(($N$4-(index(split(G72,"":""),1)*60+index(split(G72,"":""),2 )))/0.2+1)*$N$5,"""")"),"")</f>
        <v/>
      </c>
      <c r="I72" s="16" t="str">
        <f t="shared" ca="1" si="10"/>
        <v/>
      </c>
      <c r="J72" s="16" t="str">
        <f t="shared" si="11"/>
        <v/>
      </c>
      <c r="K72" s="16" t="str">
        <f t="shared" si="12"/>
        <v/>
      </c>
      <c r="L72" s="16"/>
    </row>
    <row r="73" spans="1:12" ht="14.5" x14ac:dyDescent="0.35">
      <c r="A73" s="16"/>
      <c r="B73" s="16"/>
      <c r="C73" s="16"/>
      <c r="D73" s="16"/>
      <c r="E73" s="22" t="str">
        <f ca="1">IFERROR(__xludf.dummyfunction("iferror(1000+INT(($N$2-(index(split(D73,"":""),1)*60+index(split(D73,"":""),2 )))/0.2+1)*$N$3,"""")"),"")</f>
        <v/>
      </c>
      <c r="F73" s="16" t="str">
        <f t="shared" ca="1" si="9"/>
        <v/>
      </c>
      <c r="G73" s="16"/>
      <c r="H73" s="22" t="str">
        <f ca="1">IFERROR(__xludf.dummyfunction("iferror(1000+INT(($N$4-(index(split(G73,"":""),1)*60+index(split(G73,"":""),2 )))/0.2+1)*$N$5,"""")"),"")</f>
        <v/>
      </c>
      <c r="I73" s="16" t="str">
        <f t="shared" ca="1" si="10"/>
        <v/>
      </c>
      <c r="J73" s="16" t="str">
        <f t="shared" si="11"/>
        <v/>
      </c>
      <c r="K73" s="16" t="str">
        <f t="shared" si="12"/>
        <v/>
      </c>
      <c r="L73" s="16"/>
    </row>
    <row r="74" spans="1:12" ht="14.5" x14ac:dyDescent="0.35">
      <c r="A74" s="16"/>
      <c r="B74" s="16"/>
      <c r="C74" s="16"/>
      <c r="D74" s="16"/>
      <c r="E74" s="22" t="str">
        <f ca="1">IFERROR(__xludf.dummyfunction("iferror(1000+INT(($N$2-(index(split(D74,"":""),1)*60+index(split(D74,"":""),2 )))/0.2+1)*$N$3,"""")"),"")</f>
        <v/>
      </c>
      <c r="F74" s="16" t="str">
        <f t="shared" ca="1" si="9"/>
        <v/>
      </c>
      <c r="G74" s="16"/>
      <c r="H74" s="22" t="str">
        <f ca="1">IFERROR(__xludf.dummyfunction("iferror(1000+INT(($N$4-(index(split(G74,"":""),1)*60+index(split(G74,"":""),2 )))/0.2+1)*$N$5,"""")"),"")</f>
        <v/>
      </c>
      <c r="I74" s="16" t="str">
        <f t="shared" ca="1" si="10"/>
        <v/>
      </c>
      <c r="J74" s="16" t="str">
        <f t="shared" si="11"/>
        <v/>
      </c>
      <c r="K74" s="16" t="str">
        <f t="shared" si="12"/>
        <v/>
      </c>
      <c r="L74" s="16"/>
    </row>
    <row r="75" spans="1:12" ht="14.5" x14ac:dyDescent="0.35">
      <c r="A75" s="16"/>
      <c r="B75" s="16"/>
      <c r="C75" s="16"/>
      <c r="D75" s="16"/>
      <c r="E75" s="22" t="str">
        <f ca="1">IFERROR(__xludf.dummyfunction("iferror(1000+INT(($N$2-(index(split(D75,"":""),1)*60+index(split(D75,"":""),2 )))/0.2+1)*$N$3,"""")"),"")</f>
        <v/>
      </c>
      <c r="F75" s="16" t="str">
        <f t="shared" ca="1" si="9"/>
        <v/>
      </c>
      <c r="G75" s="16"/>
      <c r="H75" s="22" t="str">
        <f ca="1">IFERROR(__xludf.dummyfunction("iferror(1000+INT(($N$4-(index(split(G75,"":""),1)*60+index(split(G75,"":""),2 )))/0.2+1)*$N$5,"""")"),"")</f>
        <v/>
      </c>
      <c r="I75" s="16" t="str">
        <f t="shared" ca="1" si="10"/>
        <v/>
      </c>
      <c r="J75" s="16" t="str">
        <f t="shared" si="11"/>
        <v/>
      </c>
      <c r="K75" s="16" t="str">
        <f t="shared" si="12"/>
        <v/>
      </c>
      <c r="L75" s="16"/>
    </row>
    <row r="76" spans="1:12" ht="14.5" x14ac:dyDescent="0.35">
      <c r="A76" s="16"/>
      <c r="B76" s="16"/>
      <c r="C76" s="16"/>
      <c r="D76" s="16"/>
      <c r="E76" s="22" t="str">
        <f ca="1">IFERROR(__xludf.dummyfunction("iferror(1000+INT(($N$2-(index(split(D76,"":""),1)*60+index(split(D76,"":""),2 )))/0.2+1)*$N$3,"""")"),"")</f>
        <v/>
      </c>
      <c r="F76" s="16" t="str">
        <f t="shared" ca="1" si="9"/>
        <v/>
      </c>
      <c r="G76" s="16"/>
      <c r="H76" s="22" t="str">
        <f ca="1">IFERROR(__xludf.dummyfunction("iferror(1000+INT(($N$4-(index(split(G76,"":""),1)*60+index(split(G76,"":""),2 )))/0.2+1)*$N$5,"""")"),"")</f>
        <v/>
      </c>
      <c r="I76" s="16" t="str">
        <f t="shared" ca="1" si="10"/>
        <v/>
      </c>
      <c r="J76" s="16" t="str">
        <f t="shared" si="11"/>
        <v/>
      </c>
      <c r="K76" s="16" t="str">
        <f t="shared" si="12"/>
        <v/>
      </c>
      <c r="L76" s="16"/>
    </row>
    <row r="77" spans="1:12" ht="14.5" x14ac:dyDescent="0.35">
      <c r="A77" s="16"/>
      <c r="B77" s="16"/>
      <c r="C77" s="16"/>
      <c r="D77" s="16"/>
      <c r="E77" s="22" t="str">
        <f ca="1">IFERROR(__xludf.dummyfunction("iferror(1000+INT(($N$2-(index(split(D77,"":""),1)*60+index(split(D77,"":""),2 )))/0.2+1)*$N$3,"""")"),"")</f>
        <v/>
      </c>
      <c r="F77" s="16" t="str">
        <f t="shared" ca="1" si="9"/>
        <v/>
      </c>
      <c r="G77" s="16"/>
      <c r="H77" s="22" t="str">
        <f ca="1">IFERROR(__xludf.dummyfunction("iferror(1000+INT(($N$4-(index(split(G77,"":""),1)*60+index(split(G77,"":""),2 )))/0.2+1)*$N$5,"""")"),"")</f>
        <v/>
      </c>
      <c r="I77" s="16" t="str">
        <f t="shared" ca="1" si="10"/>
        <v/>
      </c>
      <c r="J77" s="16" t="str">
        <f t="shared" si="11"/>
        <v/>
      </c>
      <c r="K77" s="16" t="str">
        <f t="shared" si="12"/>
        <v/>
      </c>
      <c r="L77" s="16"/>
    </row>
    <row r="78" spans="1:12" ht="14.5" x14ac:dyDescent="0.35">
      <c r="A78" s="16"/>
      <c r="B78" s="16"/>
      <c r="C78" s="16"/>
      <c r="D78" s="16"/>
      <c r="E78" s="22" t="str">
        <f ca="1">IFERROR(__xludf.dummyfunction("iferror(1000+INT(($N$2-(index(split(D78,"":""),1)*60+index(split(D78,"":""),2 )))/0.2+1)*$N$3,"""")"),"")</f>
        <v/>
      </c>
      <c r="F78" s="16" t="str">
        <f t="shared" ca="1" si="9"/>
        <v/>
      </c>
      <c r="G78" s="16"/>
      <c r="H78" s="22" t="str">
        <f ca="1">IFERROR(__xludf.dummyfunction("iferror(1000+INT(($N$4-(index(split(G78,"":""),1)*60+index(split(G78,"":""),2 )))/0.2+1)*$N$5,"""")"),"")</f>
        <v/>
      </c>
      <c r="I78" s="16" t="str">
        <f t="shared" ca="1" si="10"/>
        <v/>
      </c>
      <c r="J78" s="16" t="str">
        <f t="shared" si="11"/>
        <v/>
      </c>
      <c r="K78" s="16" t="str">
        <f t="shared" si="12"/>
        <v/>
      </c>
      <c r="L78" s="16"/>
    </row>
    <row r="79" spans="1:12" ht="14.5" x14ac:dyDescent="0.35">
      <c r="A79" s="16"/>
      <c r="B79" s="16"/>
      <c r="C79" s="16"/>
      <c r="D79" s="16"/>
      <c r="E79" s="22" t="str">
        <f ca="1">IFERROR(__xludf.dummyfunction("iferror(1000+INT(($N$2-(index(split(D79,"":""),1)*60+index(split(D79,"":""),2 )))/0.2+1)*$N$3,"""")"),"")</f>
        <v/>
      </c>
      <c r="F79" s="16" t="str">
        <f t="shared" ca="1" si="9"/>
        <v/>
      </c>
      <c r="G79" s="16"/>
      <c r="H79" s="22" t="str">
        <f ca="1">IFERROR(__xludf.dummyfunction("iferror(1000+INT(($N$4-(index(split(G79,"":""),1)*60+index(split(G79,"":""),2 )))/0.2+1)*$N$5,"""")"),"")</f>
        <v/>
      </c>
      <c r="I79" s="16" t="str">
        <f t="shared" ca="1" si="10"/>
        <v/>
      </c>
      <c r="J79" s="16" t="str">
        <f t="shared" si="11"/>
        <v/>
      </c>
      <c r="K79" s="16" t="str">
        <f t="shared" si="12"/>
        <v/>
      </c>
      <c r="L79" s="16"/>
    </row>
    <row r="80" spans="1:12" ht="14.5" x14ac:dyDescent="0.35">
      <c r="A80" s="16"/>
      <c r="B80" s="16"/>
      <c r="C80" s="16"/>
      <c r="D80" s="16"/>
      <c r="E80" s="22" t="str">
        <f ca="1">IFERROR(__xludf.dummyfunction("iferror(1000+INT(($N$2-(index(split(D80,"":""),1)*60+index(split(D80,"":""),2 )))/0.2+1)*$N$3,"""")"),"")</f>
        <v/>
      </c>
      <c r="F80" s="16" t="str">
        <f t="shared" ca="1" si="9"/>
        <v/>
      </c>
      <c r="G80" s="16"/>
      <c r="H80" s="22" t="str">
        <f ca="1">IFERROR(__xludf.dummyfunction("iferror(1000+INT(($N$4-(index(split(G80,"":""),1)*60+index(split(G80,"":""),2 )))/0.2+1)*$N$5,"""")"),"")</f>
        <v/>
      </c>
      <c r="I80" s="16" t="str">
        <f t="shared" ca="1" si="10"/>
        <v/>
      </c>
      <c r="J80" s="16" t="str">
        <f t="shared" si="11"/>
        <v/>
      </c>
      <c r="K80" s="16" t="str">
        <f t="shared" si="12"/>
        <v/>
      </c>
      <c r="L80" s="16"/>
    </row>
    <row r="81" spans="1:12" ht="14.5" x14ac:dyDescent="0.35">
      <c r="A81" s="16"/>
      <c r="B81" s="16"/>
      <c r="C81" s="16"/>
      <c r="D81" s="16"/>
      <c r="E81" s="22" t="str">
        <f ca="1">IFERROR(__xludf.dummyfunction("iferror(1000+INT(($N$2-(index(split(D81,"":""),1)*60+index(split(D81,"":""),2 )))/0.2+1)*$N$3,"""")"),"")</f>
        <v/>
      </c>
      <c r="F81" s="16" t="str">
        <f t="shared" ca="1" si="9"/>
        <v/>
      </c>
      <c r="G81" s="16"/>
      <c r="H81" s="22" t="str">
        <f ca="1">IFERROR(__xludf.dummyfunction("iferror(1000+INT(($N$4-(index(split(G81,"":""),1)*60+index(split(G81,"":""),2 )))/0.2+1)*$N$5,"""")"),"")</f>
        <v/>
      </c>
      <c r="I81" s="16" t="str">
        <f t="shared" ca="1" si="10"/>
        <v/>
      </c>
      <c r="J81" s="16" t="str">
        <f t="shared" si="11"/>
        <v/>
      </c>
      <c r="K81" s="16" t="str">
        <f t="shared" si="12"/>
        <v/>
      </c>
      <c r="L81" s="16"/>
    </row>
    <row r="82" spans="1:12" ht="14.5" x14ac:dyDescent="0.35">
      <c r="A82" s="16"/>
      <c r="B82" s="16"/>
      <c r="C82" s="16"/>
      <c r="D82" s="16"/>
      <c r="E82" s="22" t="str">
        <f ca="1">IFERROR(__xludf.dummyfunction("iferror(1000+INT(($N$2-(index(split(D82,"":""),1)*60+index(split(D82,"":""),2 )))/0.2+1)*$N$3,"""")"),"")</f>
        <v/>
      </c>
      <c r="F82" s="16" t="str">
        <f t="shared" ca="1" si="9"/>
        <v/>
      </c>
      <c r="G82" s="16"/>
      <c r="H82" s="22" t="str">
        <f ca="1">IFERROR(__xludf.dummyfunction("iferror(1000+INT(($N$4-(index(split(G82,"":""),1)*60+index(split(G82,"":""),2 )))/0.2+1)*$N$5,"""")"),"")</f>
        <v/>
      </c>
      <c r="I82" s="16" t="str">
        <f t="shared" ca="1" si="10"/>
        <v/>
      </c>
      <c r="J82" s="16" t="str">
        <f t="shared" si="11"/>
        <v/>
      </c>
      <c r="K82" s="16" t="str">
        <f t="shared" si="12"/>
        <v/>
      </c>
      <c r="L82" s="16"/>
    </row>
    <row r="83" spans="1:12" ht="14.5" x14ac:dyDescent="0.35">
      <c r="A83" s="16"/>
      <c r="B83" s="16"/>
      <c r="C83" s="16"/>
      <c r="D83" s="16"/>
      <c r="E83" s="22" t="str">
        <f ca="1">IFERROR(__xludf.dummyfunction("iferror(1000+INT(($N$2-(index(split(D83,"":""),1)*60+index(split(D83,"":""),2 )))/0.2+1)*$N$3,"""")"),"")</f>
        <v/>
      </c>
      <c r="F83" s="16" t="str">
        <f t="shared" ca="1" si="9"/>
        <v/>
      </c>
      <c r="G83" s="16"/>
      <c r="H83" s="22" t="str">
        <f ca="1">IFERROR(__xludf.dummyfunction("iferror(1000+INT(($N$4-(index(split(G83,"":""),1)*60+index(split(G83,"":""),2 )))/0.2+1)*$N$5,"""")"),"")</f>
        <v/>
      </c>
      <c r="I83" s="16" t="str">
        <f t="shared" ca="1" si="10"/>
        <v/>
      </c>
      <c r="J83" s="16" t="str">
        <f t="shared" si="11"/>
        <v/>
      </c>
      <c r="K83" s="16" t="str">
        <f t="shared" si="12"/>
        <v/>
      </c>
      <c r="L83" s="16"/>
    </row>
    <row r="84" spans="1:12" ht="14.5" x14ac:dyDescent="0.35">
      <c r="A84" s="16"/>
      <c r="B84" s="16"/>
      <c r="C84" s="16"/>
      <c r="D84" s="16"/>
      <c r="E84" s="22" t="str">
        <f ca="1">IFERROR(__xludf.dummyfunction("iferror(1000+INT(($N$2-(index(split(D84,"":""),1)*60+index(split(D84,"":""),2 )))/0.2+1)*$N$3,"""")"),"")</f>
        <v/>
      </c>
      <c r="F84" s="16" t="str">
        <f t="shared" ca="1" si="9"/>
        <v/>
      </c>
      <c r="G84" s="16"/>
      <c r="H84" s="22" t="str">
        <f ca="1">IFERROR(__xludf.dummyfunction("iferror(1000+INT(($N$4-(index(split(G84,"":""),1)*60+index(split(G84,"":""),2 )))/0.2+1)*$N$5,"""")"),"")</f>
        <v/>
      </c>
      <c r="I84" s="16" t="str">
        <f t="shared" ca="1" si="10"/>
        <v/>
      </c>
      <c r="J84" s="16" t="str">
        <f t="shared" si="11"/>
        <v/>
      </c>
      <c r="K84" s="16" t="str">
        <f t="shared" si="12"/>
        <v/>
      </c>
      <c r="L84" s="16"/>
    </row>
    <row r="85" spans="1:12" ht="14.5" x14ac:dyDescent="0.35">
      <c r="A85" s="16"/>
      <c r="B85" s="16"/>
      <c r="C85" s="16"/>
      <c r="D85" s="16"/>
      <c r="E85" s="22" t="str">
        <f ca="1">IFERROR(__xludf.dummyfunction("iferror(1000+INT(($N$2-(index(split(D85,"":""),1)*60+index(split(D85,"":""),2 )))/0.2+1)*$N$3,"""")"),"")</f>
        <v/>
      </c>
      <c r="F85" s="16" t="str">
        <f t="shared" ca="1" si="9"/>
        <v/>
      </c>
      <c r="G85" s="16"/>
      <c r="H85" s="22" t="str">
        <f ca="1">IFERROR(__xludf.dummyfunction("iferror(1000+INT(($N$4-(index(split(G85,"":""),1)*60+index(split(G85,"":""),2 )))/0.2+1)*$N$5,"""")"),"")</f>
        <v/>
      </c>
      <c r="I85" s="16" t="str">
        <f t="shared" ca="1" si="10"/>
        <v/>
      </c>
      <c r="J85" s="16" t="str">
        <f t="shared" si="11"/>
        <v/>
      </c>
      <c r="K85" s="16" t="str">
        <f t="shared" si="12"/>
        <v/>
      </c>
      <c r="L85" s="16"/>
    </row>
    <row r="86" spans="1:12" ht="14.5" x14ac:dyDescent="0.35">
      <c r="A86" s="16"/>
      <c r="B86" s="16"/>
      <c r="C86" s="16"/>
      <c r="D86" s="16"/>
      <c r="E86" s="22" t="str">
        <f ca="1">IFERROR(__xludf.dummyfunction("iferror(1000+INT(($N$2-(index(split(D86,"":""),1)*60+index(split(D86,"":""),2 )))/0.2+1)*$N$3,"""")"),"")</f>
        <v/>
      </c>
      <c r="F86" s="16" t="str">
        <f t="shared" ca="1" si="9"/>
        <v/>
      </c>
      <c r="G86" s="16"/>
      <c r="H86" s="22" t="str">
        <f ca="1">IFERROR(__xludf.dummyfunction("iferror(1000+INT(($N$4-(index(split(G86,"":""),1)*60+index(split(G86,"":""),2 )))/0.2+1)*$N$5,"""")"),"")</f>
        <v/>
      </c>
      <c r="I86" s="16" t="str">
        <f t="shared" ca="1" si="10"/>
        <v/>
      </c>
      <c r="J86" s="16" t="str">
        <f t="shared" si="11"/>
        <v/>
      </c>
      <c r="K86" s="16" t="str">
        <f t="shared" si="12"/>
        <v/>
      </c>
      <c r="L86" s="16"/>
    </row>
    <row r="87" spans="1:12" ht="14.5" x14ac:dyDescent="0.35">
      <c r="A87" s="16"/>
      <c r="B87" s="16"/>
      <c r="C87" s="16"/>
      <c r="D87" s="16"/>
      <c r="E87" s="22" t="str">
        <f ca="1">IFERROR(__xludf.dummyfunction("iferror(1000+INT(($N$2-(index(split(D87,"":""),1)*60+index(split(D87,"":""),2 )))/0.2+1)*$N$3,"""")"),"")</f>
        <v/>
      </c>
      <c r="F87" s="16" t="str">
        <f t="shared" ca="1" si="9"/>
        <v/>
      </c>
      <c r="G87" s="16"/>
      <c r="H87" s="22" t="str">
        <f ca="1">IFERROR(__xludf.dummyfunction("iferror(1000+INT(($N$4-(index(split(G87,"":""),1)*60+index(split(G87,"":""),2 )))/0.2+1)*$N$5,"""")"),"")</f>
        <v/>
      </c>
      <c r="I87" s="16" t="str">
        <f t="shared" ca="1" si="10"/>
        <v/>
      </c>
      <c r="J87" s="16" t="str">
        <f t="shared" si="11"/>
        <v/>
      </c>
      <c r="K87" s="16" t="str">
        <f t="shared" si="12"/>
        <v/>
      </c>
      <c r="L87" s="16"/>
    </row>
    <row r="88" spans="1:12" ht="14.5" x14ac:dyDescent="0.35">
      <c r="A88" s="16"/>
      <c r="B88" s="16"/>
      <c r="C88" s="16"/>
      <c r="D88" s="16"/>
      <c r="E88" s="22" t="str">
        <f ca="1">IFERROR(__xludf.dummyfunction("iferror(1000+INT(($N$2-(index(split(D88,"":""),1)*60+index(split(D88,"":""),2 )))/0.2+1)*$N$3,"""")"),"")</f>
        <v/>
      </c>
      <c r="F88" s="16" t="str">
        <f t="shared" ca="1" si="9"/>
        <v/>
      </c>
      <c r="G88" s="16"/>
      <c r="H88" s="22" t="str">
        <f ca="1">IFERROR(__xludf.dummyfunction("iferror(1000+INT(($N$4-(index(split(G88,"":""),1)*60+index(split(G88,"":""),2 )))/0.2+1)*$N$5,"""")"),"")</f>
        <v/>
      </c>
      <c r="I88" s="16" t="str">
        <f t="shared" ca="1" si="10"/>
        <v/>
      </c>
      <c r="J88" s="16" t="str">
        <f t="shared" si="11"/>
        <v/>
      </c>
      <c r="K88" s="16" t="str">
        <f t="shared" si="12"/>
        <v/>
      </c>
      <c r="L88" s="16"/>
    </row>
    <row r="89" spans="1:12" ht="14.5" x14ac:dyDescent="0.35">
      <c r="A89" s="16"/>
      <c r="B89" s="16"/>
      <c r="C89" s="16"/>
      <c r="D89" s="16"/>
      <c r="E89" s="22" t="str">
        <f ca="1">IFERROR(__xludf.dummyfunction("iferror(1000+INT(($N$2-(index(split(D89,"":""),1)*60+index(split(D89,"":""),2 )))/0.2+1)*$N$3,"""")"),"")</f>
        <v/>
      </c>
      <c r="F89" s="16" t="str">
        <f t="shared" ca="1" si="9"/>
        <v/>
      </c>
      <c r="G89" s="16"/>
      <c r="H89" s="22" t="str">
        <f ca="1">IFERROR(__xludf.dummyfunction("iferror(1000+INT(($N$4-(index(split(G89,"":""),1)*60+index(split(G89,"":""),2 )))/0.2+1)*$N$5,"""")"),"")</f>
        <v/>
      </c>
      <c r="I89" s="16" t="str">
        <f t="shared" ca="1" si="10"/>
        <v/>
      </c>
      <c r="J89" s="16" t="str">
        <f t="shared" si="11"/>
        <v/>
      </c>
      <c r="K89" s="16" t="str">
        <f t="shared" si="12"/>
        <v/>
      </c>
      <c r="L89" s="16"/>
    </row>
    <row r="90" spans="1:12" ht="14.5" x14ac:dyDescent="0.35">
      <c r="A90" s="16"/>
      <c r="B90" s="16"/>
      <c r="C90" s="16"/>
      <c r="D90" s="16"/>
      <c r="E90" s="22" t="str">
        <f ca="1">IFERROR(__xludf.dummyfunction("iferror(1000+INT(($N$2-(index(split(D90,"":""),1)*60+index(split(D90,"":""),2 )))/0.2+1)*$N$3,"""")"),"")</f>
        <v/>
      </c>
      <c r="F90" s="16" t="str">
        <f t="shared" ca="1" si="9"/>
        <v/>
      </c>
      <c r="G90" s="16"/>
      <c r="H90" s="22" t="str">
        <f ca="1">IFERROR(__xludf.dummyfunction("iferror(1000+INT(($N$4-(index(split(G90,"":""),1)*60+index(split(G90,"":""),2 )))/0.2+1)*$N$5,"""")"),"")</f>
        <v/>
      </c>
      <c r="I90" s="16" t="str">
        <f t="shared" ca="1" si="10"/>
        <v/>
      </c>
      <c r="J90" s="16" t="str">
        <f t="shared" si="11"/>
        <v/>
      </c>
      <c r="K90" s="16" t="str">
        <f t="shared" si="12"/>
        <v/>
      </c>
      <c r="L90" s="16"/>
    </row>
    <row r="91" spans="1:12" ht="14.5" x14ac:dyDescent="0.35">
      <c r="A91" s="16"/>
      <c r="B91" s="16"/>
      <c r="C91" s="16"/>
      <c r="D91" s="16"/>
      <c r="E91" s="22" t="str">
        <f ca="1">IFERROR(__xludf.dummyfunction("iferror(1000+INT(($N$2-(index(split(D91,"":""),1)*60+index(split(D91,"":""),2 )))/0.2+1)*$N$3,"""")"),"")</f>
        <v/>
      </c>
      <c r="F91" s="16" t="str">
        <f t="shared" ca="1" si="9"/>
        <v/>
      </c>
      <c r="G91" s="16"/>
      <c r="H91" s="22" t="str">
        <f ca="1">IFERROR(__xludf.dummyfunction("iferror(1000+INT(($N$4-(index(split(G91,"":""),1)*60+index(split(G91,"":""),2 )))/0.2+1)*$N$5,"""")"),"")</f>
        <v/>
      </c>
      <c r="I91" s="16" t="str">
        <f t="shared" ca="1" si="10"/>
        <v/>
      </c>
      <c r="J91" s="16" t="str">
        <f t="shared" si="11"/>
        <v/>
      </c>
      <c r="K91" s="16" t="str">
        <f t="shared" si="12"/>
        <v/>
      </c>
      <c r="L91" s="16"/>
    </row>
    <row r="92" spans="1:12" ht="14.5" x14ac:dyDescent="0.35">
      <c r="A92" s="16"/>
      <c r="B92" s="16"/>
      <c r="C92" s="16"/>
      <c r="D92" s="16"/>
      <c r="E92" s="22" t="str">
        <f ca="1">IFERROR(__xludf.dummyfunction("iferror(1000+INT(($N$2-(index(split(D92,"":""),1)*60+index(split(D92,"":""),2 )))/0.2+1)*$N$3,"""")"),"")</f>
        <v/>
      </c>
      <c r="F92" s="16" t="str">
        <f t="shared" ca="1" si="9"/>
        <v/>
      </c>
      <c r="G92" s="16"/>
      <c r="H92" s="22" t="str">
        <f ca="1">IFERROR(__xludf.dummyfunction("iferror(1000+INT(($N$4-(index(split(G92,"":""),1)*60+index(split(G92,"":""),2 )))/0.2+1)*$N$5,"""")"),"")</f>
        <v/>
      </c>
      <c r="I92" s="16" t="str">
        <f t="shared" ca="1" si="10"/>
        <v/>
      </c>
      <c r="J92" s="16" t="str">
        <f t="shared" si="11"/>
        <v/>
      </c>
      <c r="K92" s="16" t="str">
        <f t="shared" si="12"/>
        <v/>
      </c>
      <c r="L92" s="16"/>
    </row>
    <row r="93" spans="1:12" ht="14.5" x14ac:dyDescent="0.35">
      <c r="A93" s="16"/>
      <c r="B93" s="16"/>
      <c r="C93" s="16"/>
      <c r="D93" s="16"/>
      <c r="E93" s="22" t="str">
        <f ca="1">IFERROR(__xludf.dummyfunction("iferror(1000+INT(($N$2-(index(split(D93,"":""),1)*60+index(split(D93,"":""),2 )))/0.2+1)*$N$3,"""")"),"")</f>
        <v/>
      </c>
      <c r="F93" s="16" t="str">
        <f t="shared" ca="1" si="9"/>
        <v/>
      </c>
      <c r="G93" s="16"/>
      <c r="H93" s="22" t="str">
        <f ca="1">IFERROR(__xludf.dummyfunction("iferror(1000+INT(($N$4-(index(split(G93,"":""),1)*60+index(split(G93,"":""),2 )))/0.2+1)*$N$5,"""")"),"")</f>
        <v/>
      </c>
      <c r="I93" s="16" t="str">
        <f t="shared" ca="1" si="10"/>
        <v/>
      </c>
      <c r="J93" s="16" t="str">
        <f t="shared" si="11"/>
        <v/>
      </c>
      <c r="K93" s="16" t="str">
        <f t="shared" si="12"/>
        <v/>
      </c>
      <c r="L93" s="16"/>
    </row>
    <row r="94" spans="1:12" ht="14.5" x14ac:dyDescent="0.35">
      <c r="A94" s="16"/>
      <c r="B94" s="16"/>
      <c r="C94" s="16"/>
      <c r="D94" s="16"/>
      <c r="E94" s="22" t="str">
        <f ca="1">IFERROR(__xludf.dummyfunction("iferror(1000+INT(($N$2-(index(split(D94,"":""),1)*60+index(split(D94,"":""),2 )))/0.2+1)*$N$3,"""")"),"")</f>
        <v/>
      </c>
      <c r="F94" s="16" t="str">
        <f t="shared" ca="1" si="9"/>
        <v/>
      </c>
      <c r="G94" s="16"/>
      <c r="H94" s="22" t="str">
        <f ca="1">IFERROR(__xludf.dummyfunction("iferror(1000+INT(($N$4-(index(split(G94,"":""),1)*60+index(split(G94,"":""),2 )))/0.2+1)*$N$5,"""")"),"")</f>
        <v/>
      </c>
      <c r="I94" s="16" t="str">
        <f t="shared" ca="1" si="10"/>
        <v/>
      </c>
      <c r="J94" s="16" t="str">
        <f t="shared" si="11"/>
        <v/>
      </c>
      <c r="K94" s="16" t="str">
        <f t="shared" si="12"/>
        <v/>
      </c>
      <c r="L94" s="16"/>
    </row>
    <row r="95" spans="1:12" ht="14.5" x14ac:dyDescent="0.35">
      <c r="A95" s="16"/>
      <c r="B95" s="16"/>
      <c r="C95" s="16"/>
      <c r="D95" s="16"/>
      <c r="E95" s="22" t="str">
        <f ca="1">IFERROR(__xludf.dummyfunction("iferror(1000+INT(($N$2-(index(split(D95,"":""),1)*60+index(split(D95,"":""),2 )))/0.2+1)*$N$3,"""")"),"")</f>
        <v/>
      </c>
      <c r="F95" s="16" t="str">
        <f t="shared" ca="1" si="9"/>
        <v/>
      </c>
      <c r="G95" s="16"/>
      <c r="H95" s="22" t="str">
        <f ca="1">IFERROR(__xludf.dummyfunction("iferror(1000+INT(($N$4-(index(split(G95,"":""),1)*60+index(split(G95,"":""),2 )))/0.2+1)*$N$5,"""")"),"")</f>
        <v/>
      </c>
      <c r="I95" s="16" t="str">
        <f t="shared" ca="1" si="10"/>
        <v/>
      </c>
      <c r="J95" s="16" t="str">
        <f t="shared" si="11"/>
        <v/>
      </c>
      <c r="K95" s="16" t="str">
        <f t="shared" si="12"/>
        <v/>
      </c>
      <c r="L95" s="16"/>
    </row>
    <row r="96" spans="1:12" ht="14.5" x14ac:dyDescent="0.35">
      <c r="A96" s="16"/>
      <c r="B96" s="16"/>
      <c r="C96" s="16"/>
      <c r="D96" s="16"/>
      <c r="E96" s="22" t="str">
        <f ca="1">IFERROR(__xludf.dummyfunction("iferror(1000+INT(($N$2-(index(split(D96,"":""),1)*60+index(split(D96,"":""),2 )))/0.2+1)*$N$3,"""")"),"")</f>
        <v/>
      </c>
      <c r="F96" s="16" t="str">
        <f t="shared" ca="1" si="9"/>
        <v/>
      </c>
      <c r="G96" s="16"/>
      <c r="H96" s="22" t="str">
        <f ca="1">IFERROR(__xludf.dummyfunction("iferror(1000+INT(($N$4-(index(split(G96,"":""),1)*60+index(split(G96,"":""),2 )))/0.2+1)*$N$5,"""")"),"")</f>
        <v/>
      </c>
      <c r="I96" s="16" t="str">
        <f t="shared" ca="1" si="10"/>
        <v/>
      </c>
      <c r="J96" s="16" t="str">
        <f t="shared" si="11"/>
        <v/>
      </c>
      <c r="K96" s="16" t="str">
        <f t="shared" si="12"/>
        <v/>
      </c>
      <c r="L96" s="16"/>
    </row>
    <row r="97" spans="1:12" ht="14.5" x14ac:dyDescent="0.35">
      <c r="A97" s="16"/>
      <c r="B97" s="16"/>
      <c r="C97" s="16"/>
      <c r="D97" s="16"/>
      <c r="E97" s="22" t="str">
        <f ca="1">IFERROR(__xludf.dummyfunction("iferror(1000+INT(($N$2-(index(split(D97,"":""),1)*60+index(split(D97,"":""),2 )))/0.2+1)*$N$3,"""")"),"")</f>
        <v/>
      </c>
      <c r="F97" s="16" t="str">
        <f t="shared" ca="1" si="9"/>
        <v/>
      </c>
      <c r="G97" s="16"/>
      <c r="H97" s="22" t="str">
        <f ca="1">IFERROR(__xludf.dummyfunction("iferror(1000+INT(($N$4-(index(split(G97,"":""),1)*60+index(split(G97,"":""),2 )))/0.2+1)*$N$5,"""")"),"")</f>
        <v/>
      </c>
      <c r="I97" s="16" t="str">
        <f t="shared" ca="1" si="10"/>
        <v/>
      </c>
      <c r="J97" s="16" t="str">
        <f t="shared" si="11"/>
        <v/>
      </c>
      <c r="K97" s="16" t="str">
        <f t="shared" si="12"/>
        <v/>
      </c>
      <c r="L97" s="16"/>
    </row>
    <row r="98" spans="1:12" ht="14.5" x14ac:dyDescent="0.35">
      <c r="A98" s="16"/>
      <c r="B98" s="16"/>
      <c r="C98" s="16"/>
      <c r="D98" s="16"/>
      <c r="E98" s="22" t="str">
        <f ca="1">IFERROR(__xludf.dummyfunction("iferror(1000+INT(($N$2-(index(split(D98,"":""),1)*60+index(split(D98,"":""),2 )))/0.2+1)*$N$3,"""")"),"")</f>
        <v/>
      </c>
      <c r="F98" s="16" t="str">
        <f t="shared" ref="F98:F129" ca="1" si="13">IFERROR(_xlfn.RANK.EQ(E98,E:E),"")</f>
        <v/>
      </c>
      <c r="G98" s="16"/>
      <c r="H98" s="22" t="str">
        <f ca="1">IFERROR(__xludf.dummyfunction("iferror(1000+INT(($N$4-(index(split(G98,"":""),1)*60+index(split(G98,"":""),2 )))/0.2+1)*$N$5,"""")"),"")</f>
        <v/>
      </c>
      <c r="I98" s="16" t="str">
        <f t="shared" ref="I98:I129" ca="1" si="14">IFERROR(_xlfn.RANK.EQ(H98,H:H),"")</f>
        <v/>
      </c>
      <c r="J98" s="16" t="str">
        <f t="shared" si="11"/>
        <v/>
      </c>
      <c r="K98" s="16" t="str">
        <f t="shared" ref="K98:K129" si="15">IFERROR(_xlfn.RANK.EQ(J98,J:J),"")</f>
        <v/>
      </c>
      <c r="L98" s="16"/>
    </row>
    <row r="99" spans="1:12" ht="14.5" x14ac:dyDescent="0.35">
      <c r="A99" s="16"/>
      <c r="B99" s="16"/>
      <c r="C99" s="16"/>
      <c r="D99" s="16"/>
      <c r="E99" s="22" t="str">
        <f ca="1">IFERROR(__xludf.dummyfunction("iferror(1000+INT(($N$2-(index(split(D99,"":""),1)*60+index(split(D99,"":""),2 )))/0.2+1)*$N$3,"""")"),"")</f>
        <v/>
      </c>
      <c r="F99" s="16" t="str">
        <f t="shared" ca="1" si="13"/>
        <v/>
      </c>
      <c r="G99" s="16"/>
      <c r="H99" s="22" t="str">
        <f ca="1">IFERROR(__xludf.dummyfunction("iferror(1000+INT(($N$4-(index(split(G99,"":""),1)*60+index(split(G99,"":""),2 )))/0.2+1)*$N$5,"""")"),"")</f>
        <v/>
      </c>
      <c r="I99" s="16" t="str">
        <f t="shared" ca="1" si="14"/>
        <v/>
      </c>
      <c r="J99" s="16" t="str">
        <f t="shared" si="11"/>
        <v/>
      </c>
      <c r="K99" s="16" t="str">
        <f t="shared" si="15"/>
        <v/>
      </c>
      <c r="L99" s="16"/>
    </row>
    <row r="100" spans="1:12" ht="14.5" x14ac:dyDescent="0.35">
      <c r="A100" s="16"/>
      <c r="B100" s="16"/>
      <c r="C100" s="16"/>
      <c r="D100" s="16"/>
      <c r="E100" s="22" t="str">
        <f ca="1">IFERROR(__xludf.dummyfunction("iferror(1000+INT(($N$2-(index(split(D100,"":""),1)*60+index(split(D100,"":""),2 )))/0.2+1)*$N$3,"""")"),"")</f>
        <v/>
      </c>
      <c r="F100" s="16" t="str">
        <f t="shared" ca="1" si="13"/>
        <v/>
      </c>
      <c r="G100" s="16"/>
      <c r="H100" s="22" t="str">
        <f ca="1">IFERROR(__xludf.dummyfunction("iferror(1000+INT(($N$4-(index(split(G100,"":""),1)*60+index(split(G100,"":""),2 )))/0.2+1)*$N$5,"""")"),"")</f>
        <v/>
      </c>
      <c r="I100" s="16" t="str">
        <f t="shared" ca="1" si="14"/>
        <v/>
      </c>
      <c r="J100" s="16" t="str">
        <f t="shared" si="11"/>
        <v/>
      </c>
      <c r="K100" s="16" t="str">
        <f t="shared" si="15"/>
        <v/>
      </c>
      <c r="L100" s="16"/>
    </row>
    <row r="101" spans="1:12" ht="14.5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4.5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4.5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4.5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4.5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4.5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4.5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4.5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4.5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4.5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4.5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4.5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4.5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4.5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4.5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4.5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4.5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4.5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4.5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4.5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4.5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4.5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4.5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4.5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4.5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4.5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4.5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4.5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4.5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4.5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4.5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4.5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4.5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4.5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4.5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4.5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4.5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4.5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4.5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4.5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4.5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4.5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4.5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4.5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4.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4.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4.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4.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4.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4.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4.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4.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4.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4.5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4.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4.5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4.5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4.5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4.5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4.5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4.5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4.5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ht="14.5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4.5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ht="14.5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ht="14.5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4.5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4.5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5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4.5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4.5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4.5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4.5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4.5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4.5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4.5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4.5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4.5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4.5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4.5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4.5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4.5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4.5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4.5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4.5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4.5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4.5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4.5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4.5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4.5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4.5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4.5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4.5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4.5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4.5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4.5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4.5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4.5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4.5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4.5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4.5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4.5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4.5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4.5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4.5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4.5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4.5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4.5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4.5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4.5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4.5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4.5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4.5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4.5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4.5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4.5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4.5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4.5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4.5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4.5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4.5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4.5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4.5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4.5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4.5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4.5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4.5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4.5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4.5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4.5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4.5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4.5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4.5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5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4.5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4.5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4.5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4.5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4.5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4.5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4.5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4.5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4.5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4.5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4.5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4.5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4.5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4.5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4.5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4.5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4.5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4.5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4.5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4.5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4.5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4.5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4.5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4.5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4.5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4.5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4.5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4.5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4.5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4.5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4.5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4.5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4.5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4.5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4.5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4.5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4.5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4.5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4.5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4.5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4.5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4.5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4.5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4.5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4.5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4.5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4.5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4.5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4.5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4.5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4.5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4.5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4.5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4.5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4.5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4.5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4.5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4.5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4.5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4.5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4.5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4.5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4.5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4.5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4.5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4.5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4.5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4.5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4.5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4.5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4.5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4.5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4.5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4.5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4.5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4.5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4.5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4.5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4.5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4.5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4.5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4.5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4.5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4.5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4.5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4.5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4.5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4.5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4.5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4.5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4.5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4.5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4.5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4.5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4.5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4.5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4.5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4.5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4.5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4.5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4.5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4.5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4.5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4.5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4.5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4.5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4.5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4.5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4.5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4.5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4.5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4.5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4.5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4.5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4.5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4.5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4.5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4.5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4.5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4.5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4.5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4.5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4.5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4.5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4.5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4.5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4.5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4.5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4.5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4.5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4.5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4.5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4.5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4.5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4.5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4.5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4.5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4.5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4.5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4.5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4.5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4.5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4.5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4.5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4.5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ht="14.5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ht="14.5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ht="14.5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ht="14.5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ht="14.5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ht="14.5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ht="14.5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ht="14.5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ht="14.5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ht="14.5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ht="14.5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ht="14.5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ht="14.5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ht="14.5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ht="14.5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ht="14.5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ht="14.5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ht="14.5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ht="14.5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ht="14.5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ht="14.5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ht="14.5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ht="14.5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ht="14.5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ht="14.5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ht="14.5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ht="14.5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ht="14.5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ht="14.5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ht="14.5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ht="14.5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ht="14.5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ht="14.5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ht="14.5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ht="14.5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ht="14.5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ht="14.5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ht="14.5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ht="14.5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ht="14.5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ht="14.5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ht="14.5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ht="14.5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ht="14.5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ht="14.5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ht="14.5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ht="14.5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ht="14.5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ht="14.5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ht="14.5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ht="14.5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ht="14.5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ht="14.5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ht="14.5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ht="14.5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ht="14.5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ht="14.5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ht="14.5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 ht="14.5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 ht="14.5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 ht="14.5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 ht="14.5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 ht="14.5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 ht="14.5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 ht="14.5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 ht="14.5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 ht="14.5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 ht="14.5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 ht="14.5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 ht="14.5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 ht="14.5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 ht="14.5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 ht="14.5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 ht="14.5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 ht="14.5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 ht="14.5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 ht="14.5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 ht="14.5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 ht="14.5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 ht="14.5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 ht="14.5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 ht="14.5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 ht="14.5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 ht="14.5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 ht="14.5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 ht="14.5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 ht="14.5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 ht="14.5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 ht="14.5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 ht="14.5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 ht="14.5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 ht="14.5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 ht="14.5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 ht="14.5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 ht="14.5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 ht="14.5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 ht="14.5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 ht="14.5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 ht="14.5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 ht="14.5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 ht="14.5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 ht="14.5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 ht="14.5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 ht="14.5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 ht="14.5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 ht="14.5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 ht="14.5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 ht="14.5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 ht="14.5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 ht="14.5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 ht="14.5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 ht="14.5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 ht="14.5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 ht="14.5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 ht="14.5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 ht="14.5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 ht="14.5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 ht="14.5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 ht="14.5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 ht="14.5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 ht="14.5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 ht="14.5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 ht="14.5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 ht="14.5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 ht="14.5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 ht="14.5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 ht="14.5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 ht="14.5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 ht="14.5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 ht="14.5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 ht="14.5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 ht="14.5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 ht="14.5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 ht="14.5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 ht="14.5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 ht="14.5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 ht="14.5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 ht="14.5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 ht="14.5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 ht="14.5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 ht="14.5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ht="14.5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ht="14.5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ht="14.5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ht="14.5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ht="14.5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ht="14.5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ht="14.5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ht="14.5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 ht="14.5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 ht="14.5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 ht="14.5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 ht="14.5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 ht="14.5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 ht="14.5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 ht="14.5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 ht="14.5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 ht="14.5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 ht="14.5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 ht="14.5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 ht="14.5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 ht="14.5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 ht="14.5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 ht="14.5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 ht="14.5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 ht="14.5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 ht="14.5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 ht="14.5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 ht="14.5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 ht="14.5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 ht="14.5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 ht="14.5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 ht="14.5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 ht="14.5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 ht="14.5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 ht="14.5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 ht="14.5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 ht="14.5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 ht="14.5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 ht="14.5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 ht="14.5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 ht="14.5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 ht="14.5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 ht="14.5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 ht="14.5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 ht="14.5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 ht="14.5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 ht="14.5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 ht="14.5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 ht="14.5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 ht="14.5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 ht="14.5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 ht="14.5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 ht="14.5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 ht="14.5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 ht="14.5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 ht="14.5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 ht="14.5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 ht="14.5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 ht="14.5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 ht="14.5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 ht="14.5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 ht="14.5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 ht="14.5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 ht="14.5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 ht="14.5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 ht="14.5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 ht="14.5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 ht="14.5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 ht="14.5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 ht="14.5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 ht="14.5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 ht="14.5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 ht="14.5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 ht="14.5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 ht="14.5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 ht="14.5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 ht="14.5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 ht="14.5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 ht="14.5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 ht="14.5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 ht="14.5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 ht="14.5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 ht="14.5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 ht="14.5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 ht="14.5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 ht="14.5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 ht="14.5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 ht="14.5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 ht="14.5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 ht="14.5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 ht="14.5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 ht="14.5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 ht="14.5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 ht="14.5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 ht="14.5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 ht="14.5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 ht="14.5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 ht="14.5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 ht="14.5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 ht="14.5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 ht="14.5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 ht="14.5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 ht="14.5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 ht="14.5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 ht="14.5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 ht="14.5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 ht="14.5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 ht="14.5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 ht="14.5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 ht="14.5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 ht="14.5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 ht="14.5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 ht="14.5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 ht="14.5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 ht="14.5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 ht="14.5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 ht="14.5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 ht="14.5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 ht="14.5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 ht="14.5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 ht="14.5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 ht="14.5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 ht="14.5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 ht="14.5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 ht="14.5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 ht="14.5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 ht="14.5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 ht="14.5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 ht="14.5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 ht="14.5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 ht="14.5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 ht="14.5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 ht="14.5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 ht="14.5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 ht="14.5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 ht="14.5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 ht="14.5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 ht="14.5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 ht="14.5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 ht="14.5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 ht="14.5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 ht="14.5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 ht="14.5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 ht="14.5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 ht="14.5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 ht="14.5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 ht="14.5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 ht="14.5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 ht="14.5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 ht="14.5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 ht="14.5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 ht="14.5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 ht="14.5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 ht="14.5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 ht="14.5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 ht="14.5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 ht="14.5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 ht="14.5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 ht="14.5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 ht="14.5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 ht="14.5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 ht="14.5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 ht="14.5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 ht="14.5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 ht="14.5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 ht="14.5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 ht="14.5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 ht="14.5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 ht="14.5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 ht="14.5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 ht="14.5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 ht="14.5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 ht="14.5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 ht="14.5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 ht="14.5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 ht="14.5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 ht="14.5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 ht="14.5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 ht="14.5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 ht="14.5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 ht="14.5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 ht="14.5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 ht="14.5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 ht="14.5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 ht="14.5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 ht="14.5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 ht="14.5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 ht="14.5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 ht="14.5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 ht="14.5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 ht="14.5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 ht="14.5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 ht="14.5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 ht="14.5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 ht="14.5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 ht="14.5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 ht="14.5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 ht="14.5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 ht="14.5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 ht="14.5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 ht="14.5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 ht="14.5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 ht="14.5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 ht="14.5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 ht="14.5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 ht="14.5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 ht="14.5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 ht="14.5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 ht="14.5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 ht="14.5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 ht="14.5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 ht="14.5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 ht="14.5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 ht="14.5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 ht="14.5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 ht="14.5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 ht="14.5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 ht="14.5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 ht="14.5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 ht="14.5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 ht="14.5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 ht="14.5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 ht="14.5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 ht="14.5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 ht="14.5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 ht="14.5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 ht="14.5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 ht="14.5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 ht="14.5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 ht="14.5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 ht="14.5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 ht="14.5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 ht="14.5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 ht="14.5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 ht="14.5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 ht="14.5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 ht="14.5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 ht="14.5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 ht="14.5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 ht="14.5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 ht="14.5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 ht="14.5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 ht="14.5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 ht="14.5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 ht="14.5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 ht="14.5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 ht="14.5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 ht="14.5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 ht="14.5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 ht="14.5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 ht="14.5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 ht="14.5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 ht="14.5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 ht="14.5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 ht="14.5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 ht="14.5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 ht="14.5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 ht="14.5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 ht="14.5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 ht="14.5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 ht="14.5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 ht="14.5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 ht="14.5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 ht="14.5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 ht="14.5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 ht="14.5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 ht="14.5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 ht="14.5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 ht="14.5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 ht="14.5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 ht="14.5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 ht="14.5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 ht="14.5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 ht="14.5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 ht="14.5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 ht="14.5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 ht="14.5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 ht="14.5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 ht="14.5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 ht="14.5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 ht="14.5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 ht="14.5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 ht="14.5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 ht="14.5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 ht="14.5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 ht="14.5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 ht="14.5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 ht="14.5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 ht="14.5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 ht="14.5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 ht="14.5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 ht="14.5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 ht="14.5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 ht="14.5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 ht="14.5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 ht="14.5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 ht="14.5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 ht="14.5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 ht="14.5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 ht="14.5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 ht="14.5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 ht="14.5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 ht="14.5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 ht="14.5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 ht="14.5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 ht="14.5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 ht="14.5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 ht="14.5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 ht="14.5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 ht="14.5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 ht="14.5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 ht="14.5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 ht="14.5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 ht="14.5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 ht="14.5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 ht="14.5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 ht="14.5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 ht="14.5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 ht="14.5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 ht="14.5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 ht="14.5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 ht="14.5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 ht="14.5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 ht="14.5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 ht="14.5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 ht="14.5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 ht="14.5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 ht="14.5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 ht="14.5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 ht="14.5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 ht="14.5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 ht="14.5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 ht="14.5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 ht="14.5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 ht="14.5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 ht="14.5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 ht="14.5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 ht="14.5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 ht="14.5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 ht="14.5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 ht="14.5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 ht="14.5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 ht="14.5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 ht="14.5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 ht="14.5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 ht="14.5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 ht="14.5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 ht="14.5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 ht="14.5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 ht="14.5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 ht="14.5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 ht="14.5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 ht="14.5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 ht="14.5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 ht="14.5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 ht="14.5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 ht="14.5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 ht="14.5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 ht="14.5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 ht="14.5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 ht="14.5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 ht="14.5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 ht="14.5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 ht="14.5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 ht="14.5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 ht="14.5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 ht="14.5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 ht="14.5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 ht="14.5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 ht="14.5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 ht="14.5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 ht="14.5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 ht="14.5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 ht="14.5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 ht="14.5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 ht="14.5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 ht="14.5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 ht="14.5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 ht="14.5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 ht="14.5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 ht="14.5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 ht="14.5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 ht="14.5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 ht="14.5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 ht="14.5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 ht="14.5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 ht="14.5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 ht="14.5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 ht="14.5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 ht="14.5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 ht="14.5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 ht="14.5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 ht="14.5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 ht="14.5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 ht="14.5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 ht="14.5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 ht="14.5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 ht="14.5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 ht="14.5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 ht="14.5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 ht="14.5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 ht="14.5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 ht="14.5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 ht="14.5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 ht="14.5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</sheetData>
  <sortState xmlns:xlrd2="http://schemas.microsoft.com/office/spreadsheetml/2017/richdata2" ref="A2:L5">
    <sortCondition ref="K2:K5"/>
  </sortState>
  <printOptions horizontalCentered="1" gridLines="1"/>
  <pageMargins left="0.7" right="0.7" top="1.1437499999999998" bottom="1.1437499999999998" header="0.75" footer="0.75"/>
  <pageSetup paperSize="0" fitToWidth="0" fitToHeight="0" pageOrder="overThenDown" orientation="landscape" horizontalDpi="0" verticalDpi="0" copies="0"/>
  <headerFooter alignWithMargins="0"/>
  <ignoredErrors>
    <ignoredError sqref="J2:J21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'Scoring tables'!$A$2:$A$57</xm:f>
          </x14:formula1>
          <xm:sqref>L1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workbookViewId="0">
      <selection activeCell="A4" sqref="A4:K5"/>
    </sheetView>
  </sheetViews>
  <sheetFormatPr defaultRowHeight="15.75" customHeight="1" x14ac:dyDescent="0.35"/>
  <cols>
    <col min="1" max="1" width="10.4140625" style="25" customWidth="1"/>
    <col min="2" max="2" width="23.58203125" style="25" customWidth="1"/>
    <col min="3" max="3" width="22.4140625" style="25" customWidth="1"/>
    <col min="4" max="11" width="8.4140625" style="25" customWidth="1"/>
    <col min="12" max="1024" width="11.6640625" style="25" customWidth="1"/>
    <col min="1025" max="16384" width="8.6640625" style="25"/>
  </cols>
  <sheetData>
    <row r="1" spans="1:14" ht="30.75" customHeight="1" x14ac:dyDescent="0.35">
      <c r="A1" s="20" t="s">
        <v>0</v>
      </c>
      <c r="B1" s="20" t="s">
        <v>26</v>
      </c>
      <c r="C1" s="20" t="s">
        <v>27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19</v>
      </c>
    </row>
    <row r="2" spans="1:14" ht="14.5" x14ac:dyDescent="0.35">
      <c r="A2" s="16">
        <f ca="1">IFERROR(__xludf.dummyfunction("""COMPUTED_VALUE"""),168)</f>
        <v>168</v>
      </c>
      <c r="B2" s="5" t="str">
        <f ca="1">IFERROR(__xludf.dummyfunction("""COMPUTED_VALUE"""),"Oliver Stenhouse")</f>
        <v>Oliver Stenhouse</v>
      </c>
      <c r="C2" s="5" t="str">
        <f ca="1">IFERROR(__xludf.dummyfunction("""COMPUTED_VALUE"""),"Loughborough Grammar School")</f>
        <v>Loughborough Grammar School</v>
      </c>
      <c r="D2" s="16" t="s">
        <v>157</v>
      </c>
      <c r="E2" s="22">
        <f ca="1">IFERROR(__xludf.dummyfunction("iferror(1000+INT(($N$2-(index(split(D3,"":""),1)*60+index(split(D3,"":""),2 )))/0.2+1)*$N$3,"""")"),1042)</f>
        <v>1042</v>
      </c>
      <c r="F2" s="16">
        <f ca="1">IFERROR(_xlfn.RANK.EQ(E2,E:E),"")</f>
        <v>1</v>
      </c>
      <c r="G2" s="16" t="s">
        <v>158</v>
      </c>
      <c r="H2" s="22">
        <f ca="1">IFERROR(__xludf.dummyfunction("iferror(1000+INT(($N$4-(index(split(G3,"":""),1)*60+index(split(G3,"":""),2 )))/0.2+1)*$N$5,"""")"),1193)</f>
        <v>1193</v>
      </c>
      <c r="I2" s="16">
        <f ca="1">IFERROR(_xlfn.RANK.EQ(H2,H:H),"")</f>
        <v>1</v>
      </c>
      <c r="J2" s="22">
        <f ca="1">IF(AND(D2="", G2=""), "", E2+H2)</f>
        <v>2235</v>
      </c>
      <c r="K2" s="16">
        <f ca="1">IFERROR(_xlfn.RANK.EQ(J2,J:J),"")</f>
        <v>1</v>
      </c>
      <c r="L2" s="16"/>
      <c r="M2" s="21" t="s">
        <v>38</v>
      </c>
      <c r="N2" s="26">
        <f>VLOOKUP($L$1,'Scoring tables'!$A$2:$K$57,10,0)</f>
        <v>150</v>
      </c>
    </row>
    <row r="3" spans="1:14" ht="14.5" x14ac:dyDescent="0.35">
      <c r="A3" s="16">
        <f ca="1">IFERROR(__xludf.dummyfunction("Query(Entries!$A$2:$U$1205,""select A,C,D where B = '""&amp;L1&amp;""'"")"),167)</f>
        <v>167</v>
      </c>
      <c r="B3" s="3" t="str">
        <f ca="1">IFERROR(__xludf.dummyfunction("""COMPUTED_VALUE"""),"Alexander Edwards")</f>
        <v>Alexander Edwards</v>
      </c>
      <c r="C3" s="3" t="str">
        <f ca="1">IFERROR(__xludf.dummyfunction("""COMPUTED_VALUE"""),"Wellington School")</f>
        <v>Wellington School</v>
      </c>
      <c r="D3" s="16" t="s">
        <v>155</v>
      </c>
      <c r="E3" s="22">
        <f ca="1">IFERROR(__xludf.dummyfunction("iferror(1000+INT(($N$2-(index(split(D2,"":""),1)*60+index(split(D2,"":""),2 )))/0.2+1)*$N$3,"""")"),698)</f>
        <v>698</v>
      </c>
      <c r="F3" s="16">
        <f ca="1">IFERROR(_xlfn.RANK.EQ(E3,E:E),"")</f>
        <v>2</v>
      </c>
      <c r="G3" s="22" t="s">
        <v>156</v>
      </c>
      <c r="H3" s="22">
        <f ca="1">IFERROR(__xludf.dummyfunction("iferror(1000+INT(($N$4-(index(split(G2,"":""),1)*60+index(split(G2,"":""),2 )))/0.2+1)*$N$5,"""")"),979)</f>
        <v>979</v>
      </c>
      <c r="I3" s="16">
        <f ca="1">IFERROR(_xlfn.RANK.EQ(H3,H:H),"")</f>
        <v>2</v>
      </c>
      <c r="J3" s="22">
        <f t="shared" ref="J3:J66" ca="1" si="0">IF(AND(D3="", G3=""), "", E3+H3)</f>
        <v>1677</v>
      </c>
      <c r="K3" s="16">
        <f ca="1">IFERROR(_xlfn.RANK.EQ(J3,J:J),"")</f>
        <v>2</v>
      </c>
      <c r="L3" s="16"/>
      <c r="M3" s="21" t="s">
        <v>39</v>
      </c>
      <c r="N3" s="26">
        <f>VLOOKUP($L$1,'Scoring tables'!$A$2:$K$57,11,0)</f>
        <v>2</v>
      </c>
    </row>
    <row r="4" spans="1:14" ht="14.5" x14ac:dyDescent="0.35">
      <c r="A4" s="28">
        <f ca="1">IFERROR(__xludf.dummyfunction("""COMPUTED_VALUE"""),169)</f>
        <v>169</v>
      </c>
      <c r="B4" s="29" t="str">
        <f ca="1">IFERROR(__xludf.dummyfunction("""COMPUTED_VALUE"""),"Joshua Cox")</f>
        <v>Joshua Cox</v>
      </c>
      <c r="C4" s="29"/>
      <c r="D4" s="28"/>
      <c r="E4" s="30" t="str">
        <f ca="1">IFERROR(__xludf.dummyfunction("iferror(1000+INT(($N$2-(index(split(D4,"":""),1)*60+index(split(D4,"":""),2 )))/0.2+1)*$N$3,"""")"),"")</f>
        <v/>
      </c>
      <c r="F4" s="28" t="str">
        <f ca="1">IFERROR(_xlfn.RANK.EQ(E4,E:E),"")</f>
        <v/>
      </c>
      <c r="G4" s="28"/>
      <c r="H4" s="30" t="str">
        <f ca="1">IFERROR(__xludf.dummyfunction("iferror(1000+INT(($N$4-(index(split(G4,"":""),1)*60+index(split(G4,"":""),2 )))/0.2+1)*$N$5,"""")"),"")</f>
        <v/>
      </c>
      <c r="I4" s="28" t="str">
        <f ca="1">IFERROR(_xlfn.RANK.EQ(H4,H:H),"")</f>
        <v/>
      </c>
      <c r="J4" s="30" t="str">
        <f t="shared" si="0"/>
        <v/>
      </c>
      <c r="K4" s="28" t="s">
        <v>444</v>
      </c>
      <c r="L4" s="16"/>
      <c r="M4" s="21" t="s">
        <v>31</v>
      </c>
      <c r="N4" s="26">
        <f>VLOOKUP($L$1,'Scoring tables'!$A$2:$K$57,5,0)</f>
        <v>345</v>
      </c>
    </row>
    <row r="5" spans="1:14" ht="14.5" x14ac:dyDescent="0.35">
      <c r="A5" s="28">
        <f ca="1">IFERROR(__xludf.dummyfunction("""COMPUTED_VALUE"""),170)</f>
        <v>170</v>
      </c>
      <c r="B5" s="29" t="str">
        <f ca="1">IFERROR(__xludf.dummyfunction("""COMPUTED_VALUE"""),"George Kenyon")</f>
        <v>George Kenyon</v>
      </c>
      <c r="C5" s="29" t="str">
        <f ca="1">IFERROR(__xludf.dummyfunction("""COMPUTED_VALUE"""),"Stonyhurst College")</f>
        <v>Stonyhurst College</v>
      </c>
      <c r="D5" s="28"/>
      <c r="E5" s="30" t="str">
        <f ca="1">IFERROR(__xludf.dummyfunction("iferror(1000+INT(($N$2-(index(split(D5,"":""),1)*60+index(split(D5,"":""),2 )))/0.2+1)*$N$3,"""")"),"")</f>
        <v/>
      </c>
      <c r="F5" s="28" t="str">
        <f ca="1">IFERROR(_xlfn.RANK.EQ(E5,E:E),"")</f>
        <v/>
      </c>
      <c r="G5" s="28"/>
      <c r="H5" s="30" t="str">
        <f ca="1">IFERROR(__xludf.dummyfunction("iferror(1000+INT(($N$4-(index(split(G5,"":""),1)*60+index(split(G5,"":""),2 )))/0.2+1)*$N$5,"""")"),"")</f>
        <v/>
      </c>
      <c r="I5" s="28" t="str">
        <f ca="1">IFERROR(_xlfn.RANK.EQ(H5,H:H),"")</f>
        <v/>
      </c>
      <c r="J5" s="30" t="str">
        <f t="shared" si="0"/>
        <v/>
      </c>
      <c r="K5" s="28" t="s">
        <v>444</v>
      </c>
      <c r="L5" s="16"/>
      <c r="M5" s="21" t="s">
        <v>32</v>
      </c>
      <c r="N5" s="26">
        <f>VLOOKUP($L$1,'Scoring tables'!$A$2:$K$57,6,0)</f>
        <v>1</v>
      </c>
    </row>
    <row r="6" spans="1:14" ht="14.5" x14ac:dyDescent="0.35">
      <c r="A6" s="16"/>
      <c r="B6" s="16"/>
      <c r="C6" s="16"/>
      <c r="D6" s="16"/>
      <c r="E6" s="22" t="str">
        <f ca="1">IFERROR(__xludf.dummyfunction("iferror(1000+INT(($N$2-(index(split(D6,"":""),1)*60+index(split(D6,"":""),2 )))/0.2+1)*$N$3,"""")"),"")</f>
        <v/>
      </c>
      <c r="F6" s="16" t="str">
        <f t="shared" ref="F2:F33" ca="1" si="1">IFERROR(_xlfn.RANK.EQ(E6,E:E),"")</f>
        <v/>
      </c>
      <c r="G6" s="16"/>
      <c r="H6" s="22" t="str">
        <f ca="1">IFERROR(__xludf.dummyfunction("iferror(1000+INT(($N$4-(index(split(G6,"":""),1)*60+index(split(G6,"":""),2 )))/0.2+1)*$N$5,"""")"),"")</f>
        <v/>
      </c>
      <c r="I6" s="16" t="str">
        <f t="shared" ref="I2:I33" ca="1" si="2">IFERROR(_xlfn.RANK.EQ(H6,H:H),"")</f>
        <v/>
      </c>
      <c r="J6" s="22" t="str">
        <f t="shared" si="0"/>
        <v/>
      </c>
      <c r="K6" s="16" t="str">
        <f t="shared" ref="K2:K33" si="3">IFERROR(_xlfn.RANK.EQ(J6,J:J),"")</f>
        <v/>
      </c>
      <c r="L6" s="16"/>
    </row>
    <row r="7" spans="1:14" ht="14.5" x14ac:dyDescent="0.35">
      <c r="A7" s="16"/>
      <c r="B7" s="16"/>
      <c r="C7" s="16"/>
      <c r="D7" s="16"/>
      <c r="E7" s="22" t="str">
        <f ca="1">IFERROR(__xludf.dummyfunction("iferror(1000+INT(($N$2-(index(split(D7,"":""),1)*60+index(split(D7,"":""),2 )))/0.2+1)*$N$3,"""")"),"")</f>
        <v/>
      </c>
      <c r="F7" s="16" t="str">
        <f t="shared" ca="1" si="1"/>
        <v/>
      </c>
      <c r="G7" s="16"/>
      <c r="H7" s="22" t="str">
        <f ca="1">IFERROR(__xludf.dummyfunction("iferror(1000+INT(($N$4-(index(split(G7,"":""),1)*60+index(split(G7,"":""),2 )))/0.2+1)*$N$5,"""")"),"")</f>
        <v/>
      </c>
      <c r="I7" s="16" t="str">
        <f t="shared" ca="1" si="2"/>
        <v/>
      </c>
      <c r="J7" s="22" t="str">
        <f t="shared" si="0"/>
        <v/>
      </c>
      <c r="K7" s="16" t="str">
        <f t="shared" si="3"/>
        <v/>
      </c>
      <c r="L7" s="16"/>
    </row>
    <row r="8" spans="1:14" ht="14.5" x14ac:dyDescent="0.35">
      <c r="A8" s="16"/>
      <c r="B8" s="16"/>
      <c r="C8" s="16"/>
      <c r="D8" s="23"/>
      <c r="E8" s="22" t="str">
        <f ca="1">IFERROR(__xludf.dummyfunction("iferror(1000+INT(($N$2-(index(split(D8,"":""),1)*60+index(split(D8,"":""),2 )))/0.2+1)*$N$3,"""")"),"")</f>
        <v/>
      </c>
      <c r="F8" s="16" t="str">
        <f t="shared" ca="1" si="1"/>
        <v/>
      </c>
      <c r="G8" s="16"/>
      <c r="H8" s="22" t="str">
        <f ca="1">IFERROR(__xludf.dummyfunction("iferror(1000+INT(($N$4-(index(split(G8,"":""),1)*60+index(split(G8,"":""),2 )))/0.2+1)*$N$5,"""")"),"")</f>
        <v/>
      </c>
      <c r="I8" s="16" t="str">
        <f t="shared" ca="1" si="2"/>
        <v/>
      </c>
      <c r="J8" s="22" t="str">
        <f t="shared" si="0"/>
        <v/>
      </c>
      <c r="K8" s="16" t="str">
        <f t="shared" si="3"/>
        <v/>
      </c>
      <c r="L8" s="16"/>
    </row>
    <row r="9" spans="1:14" ht="14.5" x14ac:dyDescent="0.35">
      <c r="A9" s="16"/>
      <c r="B9" s="16"/>
      <c r="C9" s="16"/>
      <c r="D9" s="16"/>
      <c r="E9" s="22" t="str">
        <f ca="1">IFERROR(__xludf.dummyfunction("iferror(1000+INT(($N$2-(index(split(D9,"":""),1)*60+index(split(D9,"":""),2 )))/0.2+1)*$N$3,"""")"),"")</f>
        <v/>
      </c>
      <c r="F9" s="16" t="str">
        <f t="shared" ca="1" si="1"/>
        <v/>
      </c>
      <c r="G9" s="16"/>
      <c r="H9" s="22" t="str">
        <f ca="1">IFERROR(__xludf.dummyfunction("iferror(1000+INT(($N$4-(index(split(G9,"":""),1)*60+index(split(G9,"":""),2 )))/0.2+1)*$N$5,"""")"),"")</f>
        <v/>
      </c>
      <c r="I9" s="16" t="str">
        <f t="shared" ca="1" si="2"/>
        <v/>
      </c>
      <c r="J9" s="22" t="str">
        <f t="shared" si="0"/>
        <v/>
      </c>
      <c r="K9" s="16" t="str">
        <f t="shared" si="3"/>
        <v/>
      </c>
      <c r="L9" s="16"/>
    </row>
    <row r="10" spans="1:14" ht="14.5" x14ac:dyDescent="0.35">
      <c r="A10" s="16"/>
      <c r="B10" s="16"/>
      <c r="C10" s="16"/>
      <c r="D10" s="16"/>
      <c r="E10" s="22" t="str">
        <f ca="1">IFERROR(__xludf.dummyfunction("iferror(1000+INT(($N$2-(index(split(D10,"":""),1)*60+index(split(D10,"":""),2 )))/0.2+1)*$N$3,"""")"),"")</f>
        <v/>
      </c>
      <c r="F10" s="16" t="str">
        <f t="shared" ca="1" si="1"/>
        <v/>
      </c>
      <c r="G10" s="16"/>
      <c r="H10" s="22" t="str">
        <f ca="1">IFERROR(__xludf.dummyfunction("iferror(1000+INT(($N$4-(index(split(G10,"":""),1)*60+index(split(G10,"":""),2 )))/0.2+1)*$N$5,"""")"),"")</f>
        <v/>
      </c>
      <c r="I10" s="16" t="str">
        <f t="shared" ca="1" si="2"/>
        <v/>
      </c>
      <c r="J10" s="22" t="str">
        <f t="shared" si="0"/>
        <v/>
      </c>
      <c r="K10" s="16" t="str">
        <f t="shared" si="3"/>
        <v/>
      </c>
      <c r="L10" s="16"/>
    </row>
    <row r="11" spans="1:14" ht="14.5" x14ac:dyDescent="0.35">
      <c r="A11" s="16"/>
      <c r="B11" s="16"/>
      <c r="C11" s="16"/>
      <c r="D11" s="16"/>
      <c r="E11" s="22" t="str">
        <f ca="1">IFERROR(__xludf.dummyfunction("iferror(1000+INT(($N$2-(index(split(D11,"":""),1)*60+index(split(D11,"":""),2 )))/0.2+1)*$N$3,"""")"),"")</f>
        <v/>
      </c>
      <c r="F11" s="16" t="str">
        <f t="shared" ca="1" si="1"/>
        <v/>
      </c>
      <c r="G11" s="16"/>
      <c r="H11" s="22" t="str">
        <f ca="1">IFERROR(__xludf.dummyfunction("iferror(1000+INT(($N$4-(index(split(G11,"":""),1)*60+index(split(G11,"":""),2 )))/0.2+1)*$N$5,"""")"),"")</f>
        <v/>
      </c>
      <c r="I11" s="16" t="str">
        <f t="shared" ca="1" si="2"/>
        <v/>
      </c>
      <c r="J11" s="22" t="str">
        <f t="shared" si="0"/>
        <v/>
      </c>
      <c r="K11" s="16" t="str">
        <f t="shared" si="3"/>
        <v/>
      </c>
      <c r="L11" s="16"/>
    </row>
    <row r="12" spans="1:14" ht="14.5" x14ac:dyDescent="0.35">
      <c r="A12" s="16"/>
      <c r="B12" s="16"/>
      <c r="C12" s="16"/>
      <c r="D12" s="16"/>
      <c r="E12" s="22" t="str">
        <f ca="1">IFERROR(__xludf.dummyfunction("iferror(1000+INT(($N$2-(index(split(D12,"":""),1)*60+index(split(D12,"":""),2 )))/0.2+1)*$N$3,"""")"),"")</f>
        <v/>
      </c>
      <c r="F12" s="16" t="str">
        <f t="shared" ca="1" si="1"/>
        <v/>
      </c>
      <c r="G12" s="16"/>
      <c r="H12" s="22" t="str">
        <f ca="1">IFERROR(__xludf.dummyfunction("iferror(1000+INT(($N$4-(index(split(G12,"":""),1)*60+index(split(G12,"":""),2 )))/0.2+1)*$N$5,"""")"),"")</f>
        <v/>
      </c>
      <c r="I12" s="16" t="str">
        <f t="shared" ca="1" si="2"/>
        <v/>
      </c>
      <c r="J12" s="22" t="str">
        <f t="shared" si="0"/>
        <v/>
      </c>
      <c r="K12" s="16" t="str">
        <f t="shared" si="3"/>
        <v/>
      </c>
      <c r="L12" s="16"/>
    </row>
    <row r="13" spans="1:14" ht="14.5" x14ac:dyDescent="0.35">
      <c r="A13" s="16"/>
      <c r="B13" s="16"/>
      <c r="C13" s="16"/>
      <c r="D13" s="16"/>
      <c r="E13" s="22" t="str">
        <f ca="1">IFERROR(__xludf.dummyfunction("iferror(1000+INT(($N$2-(index(split(D13,"":""),1)*60+index(split(D13,"":""),2 )))/0.2+1)*$N$3,"""")"),"")</f>
        <v/>
      </c>
      <c r="F13" s="16" t="str">
        <f t="shared" ca="1" si="1"/>
        <v/>
      </c>
      <c r="G13" s="16"/>
      <c r="H13" s="22" t="str">
        <f ca="1">IFERROR(__xludf.dummyfunction("iferror(1000+INT(($N$4-(index(split(G13,"":""),1)*60+index(split(G13,"":""),2 )))/0.2+1)*$N$5,"""")"),"")</f>
        <v/>
      </c>
      <c r="I13" s="16" t="str">
        <f t="shared" ca="1" si="2"/>
        <v/>
      </c>
      <c r="J13" s="22" t="str">
        <f t="shared" si="0"/>
        <v/>
      </c>
      <c r="K13" s="16" t="str">
        <f t="shared" si="3"/>
        <v/>
      </c>
      <c r="L13" s="16"/>
    </row>
    <row r="14" spans="1:14" ht="14.5" x14ac:dyDescent="0.35">
      <c r="A14" s="16"/>
      <c r="B14" s="16"/>
      <c r="C14" s="16"/>
      <c r="D14" s="16"/>
      <c r="E14" s="22" t="str">
        <f ca="1">IFERROR(__xludf.dummyfunction("iferror(1000+INT(($N$2-(index(split(D14,"":""),1)*60+index(split(D14,"":""),2 )))/0.2+1)*$N$3,"""")"),"")</f>
        <v/>
      </c>
      <c r="F14" s="16" t="str">
        <f t="shared" ca="1" si="1"/>
        <v/>
      </c>
      <c r="G14" s="16"/>
      <c r="H14" s="22" t="str">
        <f ca="1">IFERROR(__xludf.dummyfunction("iferror(1000+INT(($N$4-(index(split(G14,"":""),1)*60+index(split(G14,"":""),2 )))/0.2+1)*$N$5,"""")"),"")</f>
        <v/>
      </c>
      <c r="I14" s="16" t="str">
        <f t="shared" ca="1" si="2"/>
        <v/>
      </c>
      <c r="J14" s="22" t="str">
        <f t="shared" si="0"/>
        <v/>
      </c>
      <c r="K14" s="16" t="str">
        <f t="shared" si="3"/>
        <v/>
      </c>
      <c r="L14" s="16"/>
    </row>
    <row r="15" spans="1:14" ht="14.5" x14ac:dyDescent="0.35">
      <c r="A15" s="16"/>
      <c r="B15" s="16"/>
      <c r="C15" s="16"/>
      <c r="D15" s="16"/>
      <c r="E15" s="22" t="str">
        <f ca="1">IFERROR(__xludf.dummyfunction("iferror(1000+INT(($N$2-(index(split(D15,"":""),1)*60+index(split(D15,"":""),2 )))/0.2+1)*$N$3,"""")"),"")</f>
        <v/>
      </c>
      <c r="F15" s="16" t="str">
        <f t="shared" ca="1" si="1"/>
        <v/>
      </c>
      <c r="G15" s="16"/>
      <c r="H15" s="22" t="str">
        <f ca="1">IFERROR(__xludf.dummyfunction("iferror(1000+INT(($N$4-(index(split(G15,"":""),1)*60+index(split(G15,"":""),2 )))/0.2+1)*$N$5,"""")"),"")</f>
        <v/>
      </c>
      <c r="I15" s="16" t="str">
        <f t="shared" ca="1" si="2"/>
        <v/>
      </c>
      <c r="J15" s="22" t="str">
        <f t="shared" si="0"/>
        <v/>
      </c>
      <c r="K15" s="16" t="str">
        <f t="shared" si="3"/>
        <v/>
      </c>
      <c r="L15" s="16"/>
    </row>
    <row r="16" spans="1:14" ht="14.5" x14ac:dyDescent="0.35">
      <c r="A16" s="16"/>
      <c r="B16" s="16"/>
      <c r="C16" s="16"/>
      <c r="D16" s="16"/>
      <c r="E16" s="22" t="str">
        <f ca="1">IFERROR(__xludf.dummyfunction("iferror(1000+INT(($N$2-(index(split(D16,"":""),1)*60+index(split(D16,"":""),2 )))/0.2+1)*$N$3,"""")"),"")</f>
        <v/>
      </c>
      <c r="F16" s="16" t="str">
        <f t="shared" ca="1" si="1"/>
        <v/>
      </c>
      <c r="G16" s="16"/>
      <c r="H16" s="22" t="str">
        <f ca="1">IFERROR(__xludf.dummyfunction("iferror(1000+INT(($N$4-(index(split(G16,"":""),1)*60+index(split(G16,"":""),2 )))/0.2+1)*$N$5,"""")"),"")</f>
        <v/>
      </c>
      <c r="I16" s="16" t="str">
        <f t="shared" ca="1" si="2"/>
        <v/>
      </c>
      <c r="J16" s="22" t="str">
        <f t="shared" si="0"/>
        <v/>
      </c>
      <c r="K16" s="16" t="str">
        <f t="shared" si="3"/>
        <v/>
      </c>
      <c r="L16" s="16"/>
    </row>
    <row r="17" spans="1:12" ht="14.5" x14ac:dyDescent="0.35">
      <c r="A17" s="16"/>
      <c r="B17" s="16"/>
      <c r="C17" s="16"/>
      <c r="D17" s="16"/>
      <c r="E17" s="22" t="str">
        <f ca="1">IFERROR(__xludf.dummyfunction("iferror(1000+INT(($N$2-(index(split(D17,"":""),1)*60+index(split(D17,"":""),2 )))/0.2+1)*$N$3,"""")"),"")</f>
        <v/>
      </c>
      <c r="F17" s="16" t="str">
        <f t="shared" ca="1" si="1"/>
        <v/>
      </c>
      <c r="G17" s="16"/>
      <c r="H17" s="22" t="str">
        <f ca="1">IFERROR(__xludf.dummyfunction("iferror(1000+INT(($N$4-(index(split(G17,"":""),1)*60+index(split(G17,"":""),2 )))/0.2+1)*$N$5,"""")"),"")</f>
        <v/>
      </c>
      <c r="I17" s="16" t="str">
        <f t="shared" ca="1" si="2"/>
        <v/>
      </c>
      <c r="J17" s="22" t="str">
        <f t="shared" si="0"/>
        <v/>
      </c>
      <c r="K17" s="16" t="str">
        <f t="shared" si="3"/>
        <v/>
      </c>
      <c r="L17" s="16"/>
    </row>
    <row r="18" spans="1:12" ht="14.5" x14ac:dyDescent="0.35">
      <c r="A18" s="16"/>
      <c r="B18" s="16"/>
      <c r="C18" s="16"/>
      <c r="D18" s="16"/>
      <c r="E18" s="22" t="str">
        <f ca="1">IFERROR(__xludf.dummyfunction("iferror(1000+INT(($N$2-(index(split(D18,"":""),1)*60+index(split(D18,"":""),2 )))/0.2+1)*$N$3,"""")"),"")</f>
        <v/>
      </c>
      <c r="F18" s="16" t="str">
        <f t="shared" ca="1" si="1"/>
        <v/>
      </c>
      <c r="G18" s="16"/>
      <c r="H18" s="22" t="str">
        <f ca="1">IFERROR(__xludf.dummyfunction("iferror(1000+INT(($N$4-(index(split(G18,"":""),1)*60+index(split(G18,"":""),2 )))/0.2+1)*$N$5,"""")"),"")</f>
        <v/>
      </c>
      <c r="I18" s="16" t="str">
        <f t="shared" ca="1" si="2"/>
        <v/>
      </c>
      <c r="J18" s="22" t="str">
        <f t="shared" si="0"/>
        <v/>
      </c>
      <c r="K18" s="16" t="str">
        <f t="shared" si="3"/>
        <v/>
      </c>
      <c r="L18" s="16"/>
    </row>
    <row r="19" spans="1:12" ht="14.5" x14ac:dyDescent="0.35">
      <c r="A19" s="16"/>
      <c r="B19" s="16"/>
      <c r="C19" s="16"/>
      <c r="D19" s="16"/>
      <c r="E19" s="22" t="str">
        <f ca="1">IFERROR(__xludf.dummyfunction("iferror(1000+INT(($N$2-(index(split(D19,"":""),1)*60+index(split(D19,"":""),2 )))/0.2+1)*$N$3,"""")"),"")</f>
        <v/>
      </c>
      <c r="F19" s="16" t="str">
        <f t="shared" ca="1" si="1"/>
        <v/>
      </c>
      <c r="G19" s="16"/>
      <c r="H19" s="22" t="str">
        <f ca="1">IFERROR(__xludf.dummyfunction("iferror(1000+INT(($N$4-(index(split(G19,"":""),1)*60+index(split(G19,"":""),2 )))/0.2+1)*$N$5,"""")"),"")</f>
        <v/>
      </c>
      <c r="I19" s="16" t="str">
        <f t="shared" ca="1" si="2"/>
        <v/>
      </c>
      <c r="J19" s="22" t="str">
        <f t="shared" si="0"/>
        <v/>
      </c>
      <c r="K19" s="16" t="str">
        <f t="shared" si="3"/>
        <v/>
      </c>
      <c r="L19" s="16"/>
    </row>
    <row r="20" spans="1:12" ht="14.5" x14ac:dyDescent="0.35">
      <c r="A20" s="16"/>
      <c r="B20" s="16"/>
      <c r="C20" s="16"/>
      <c r="D20" s="16"/>
      <c r="E20" s="22" t="str">
        <f ca="1">IFERROR(__xludf.dummyfunction("iferror(1000+INT(($N$2-(index(split(D20,"":""),1)*60+index(split(D20,"":""),2 )))/0.2+1)*$N$3,"""")"),"")</f>
        <v/>
      </c>
      <c r="F20" s="16" t="str">
        <f t="shared" ca="1" si="1"/>
        <v/>
      </c>
      <c r="G20" s="16"/>
      <c r="H20" s="22" t="str">
        <f ca="1">IFERROR(__xludf.dummyfunction("iferror(1000+INT(($N$4-(index(split(G20,"":""),1)*60+index(split(G20,"":""),2 )))/0.2+1)*$N$5,"""")"),"")</f>
        <v/>
      </c>
      <c r="I20" s="16" t="str">
        <f t="shared" ca="1" si="2"/>
        <v/>
      </c>
      <c r="J20" s="22" t="str">
        <f t="shared" si="0"/>
        <v/>
      </c>
      <c r="K20" s="16" t="str">
        <f t="shared" si="3"/>
        <v/>
      </c>
      <c r="L20" s="16"/>
    </row>
    <row r="21" spans="1:12" ht="14.5" x14ac:dyDescent="0.35">
      <c r="A21" s="16"/>
      <c r="B21" s="16"/>
      <c r="C21" s="16"/>
      <c r="D21" s="16"/>
      <c r="E21" s="22" t="str">
        <f ca="1">IFERROR(__xludf.dummyfunction("iferror(1000+INT(($N$2-(index(split(D21,"":""),1)*60+index(split(D21,"":""),2 )))/0.2+1)*$N$3,"""")"),"")</f>
        <v/>
      </c>
      <c r="F21" s="16" t="str">
        <f t="shared" ca="1" si="1"/>
        <v/>
      </c>
      <c r="G21" s="16"/>
      <c r="H21" s="22" t="str">
        <f ca="1">IFERROR(__xludf.dummyfunction("iferror(1000+INT(($N$4-(index(split(G21,"":""),1)*60+index(split(G21,"":""),2 )))/0.2+1)*$N$5,"""")"),"")</f>
        <v/>
      </c>
      <c r="I21" s="16" t="str">
        <f t="shared" ca="1" si="2"/>
        <v/>
      </c>
      <c r="J21" s="22" t="str">
        <f t="shared" si="0"/>
        <v/>
      </c>
      <c r="K21" s="16" t="str">
        <f t="shared" si="3"/>
        <v/>
      </c>
      <c r="L21" s="16"/>
    </row>
    <row r="22" spans="1:12" ht="14.5" x14ac:dyDescent="0.35">
      <c r="A22" s="16"/>
      <c r="B22" s="16"/>
      <c r="C22" s="16"/>
      <c r="D22" s="16"/>
      <c r="E22" s="22" t="str">
        <f ca="1">IFERROR(__xludf.dummyfunction("iferror(1000+INT(($N$2-(index(split(D22,"":""),1)*60+index(split(D22,"":""),2 )))/0.2+1)*$N$3,"""")"),"")</f>
        <v/>
      </c>
      <c r="F22" s="16" t="str">
        <f t="shared" ca="1" si="1"/>
        <v/>
      </c>
      <c r="G22" s="16"/>
      <c r="H22" s="22" t="str">
        <f ca="1">IFERROR(__xludf.dummyfunction("iferror(1000+INT(($N$4-(index(split(G22,"":""),1)*60+index(split(G22,"":""),2 )))/0.2+1)*$N$5,"""")"),"")</f>
        <v/>
      </c>
      <c r="I22" s="16" t="str">
        <f t="shared" ca="1" si="2"/>
        <v/>
      </c>
      <c r="J22" s="22" t="str">
        <f t="shared" si="0"/>
        <v/>
      </c>
      <c r="K22" s="16" t="str">
        <f t="shared" si="3"/>
        <v/>
      </c>
      <c r="L22" s="16"/>
    </row>
    <row r="23" spans="1:12" ht="14.5" x14ac:dyDescent="0.35">
      <c r="A23" s="16"/>
      <c r="B23" s="16"/>
      <c r="C23" s="16"/>
      <c r="D23" s="16"/>
      <c r="E23" s="22" t="str">
        <f ca="1">IFERROR(__xludf.dummyfunction("iferror(1000+INT(($N$2-(index(split(D23,"":""),1)*60+index(split(D23,"":""),2 )))/0.2+1)*$N$3,"""")"),"")</f>
        <v/>
      </c>
      <c r="F23" s="16" t="str">
        <f t="shared" ca="1" si="1"/>
        <v/>
      </c>
      <c r="G23" s="16"/>
      <c r="H23" s="22" t="str">
        <f ca="1">IFERROR(__xludf.dummyfunction("iferror(1000+INT(($N$4-(index(split(G23,"":""),1)*60+index(split(G23,"":""),2 )))/0.2+1)*$N$5,"""")"),"")</f>
        <v/>
      </c>
      <c r="I23" s="16" t="str">
        <f t="shared" ca="1" si="2"/>
        <v/>
      </c>
      <c r="J23" s="22" t="str">
        <f t="shared" si="0"/>
        <v/>
      </c>
      <c r="K23" s="16" t="str">
        <f t="shared" si="3"/>
        <v/>
      </c>
      <c r="L23" s="16"/>
    </row>
    <row r="24" spans="1:12" ht="14.5" x14ac:dyDescent="0.35">
      <c r="A24" s="16"/>
      <c r="B24" s="16"/>
      <c r="C24" s="16"/>
      <c r="D24" s="16"/>
      <c r="E24" s="22" t="str">
        <f ca="1">IFERROR(__xludf.dummyfunction("iferror(1000+INT(($N$2-(index(split(D24,"":""),1)*60+index(split(D24,"":""),2 )))/0.2+1)*$N$3,"""")"),"")</f>
        <v/>
      </c>
      <c r="F24" s="16" t="str">
        <f t="shared" ca="1" si="1"/>
        <v/>
      </c>
      <c r="G24" s="16"/>
      <c r="H24" s="22" t="str">
        <f ca="1">IFERROR(__xludf.dummyfunction("iferror(1000+INT(($N$4-(index(split(G24,"":""),1)*60+index(split(G24,"":""),2 )))/0.2+1)*$N$5,"""")"),"")</f>
        <v/>
      </c>
      <c r="I24" s="16" t="str">
        <f t="shared" ca="1" si="2"/>
        <v/>
      </c>
      <c r="J24" s="22" t="str">
        <f t="shared" si="0"/>
        <v/>
      </c>
      <c r="K24" s="16" t="str">
        <f t="shared" si="3"/>
        <v/>
      </c>
      <c r="L24" s="16"/>
    </row>
    <row r="25" spans="1:12" ht="14.5" x14ac:dyDescent="0.35">
      <c r="A25" s="16"/>
      <c r="B25" s="16"/>
      <c r="C25" s="16"/>
      <c r="D25" s="16"/>
      <c r="E25" s="22" t="str">
        <f ca="1">IFERROR(__xludf.dummyfunction("iferror(1000+INT(($N$2-(index(split(D25,"":""),1)*60+index(split(D25,"":""),2 )))/0.2+1)*$N$3,"""")"),"")</f>
        <v/>
      </c>
      <c r="F25" s="16" t="str">
        <f t="shared" ca="1" si="1"/>
        <v/>
      </c>
      <c r="G25" s="16"/>
      <c r="H25" s="22" t="str">
        <f ca="1">IFERROR(__xludf.dummyfunction("iferror(1000+INT(($N$4-(index(split(G25,"":""),1)*60+index(split(G25,"":""),2 )))/0.2+1)*$N$5,"""")"),"")</f>
        <v/>
      </c>
      <c r="I25" s="16" t="str">
        <f t="shared" ca="1" si="2"/>
        <v/>
      </c>
      <c r="J25" s="22" t="str">
        <f t="shared" si="0"/>
        <v/>
      </c>
      <c r="K25" s="16" t="str">
        <f t="shared" si="3"/>
        <v/>
      </c>
      <c r="L25" s="16"/>
    </row>
    <row r="26" spans="1:12" ht="14.5" x14ac:dyDescent="0.35">
      <c r="A26" s="16"/>
      <c r="B26" s="16"/>
      <c r="C26" s="16"/>
      <c r="D26" s="16"/>
      <c r="E26" s="22" t="str">
        <f ca="1">IFERROR(__xludf.dummyfunction("iferror(1000+INT(($N$2-(index(split(D26,"":""),1)*60+index(split(D26,"":""),2 )))/0.2+1)*$N$3,"""")"),"")</f>
        <v/>
      </c>
      <c r="F26" s="16" t="str">
        <f t="shared" ca="1" si="1"/>
        <v/>
      </c>
      <c r="G26" s="16"/>
      <c r="H26" s="22" t="str">
        <f ca="1">IFERROR(__xludf.dummyfunction("iferror(1000+INT(($N$4-(index(split(G26,"":""),1)*60+index(split(G26,"":""),2 )))/0.2+1)*$N$5,"""")"),"")</f>
        <v/>
      </c>
      <c r="I26" s="16" t="str">
        <f t="shared" ca="1" si="2"/>
        <v/>
      </c>
      <c r="J26" s="22" t="str">
        <f t="shared" si="0"/>
        <v/>
      </c>
      <c r="K26" s="16" t="str">
        <f t="shared" si="3"/>
        <v/>
      </c>
      <c r="L26" s="16"/>
    </row>
    <row r="27" spans="1:12" ht="14.5" x14ac:dyDescent="0.35">
      <c r="A27" s="16"/>
      <c r="B27" s="16"/>
      <c r="C27" s="16"/>
      <c r="D27" s="16"/>
      <c r="E27" s="22" t="str">
        <f ca="1">IFERROR(__xludf.dummyfunction("iferror(1000+INT(($N$2-(index(split(D27,"":""),1)*60+index(split(D27,"":""),2 )))/0.2+1)*$N$3,"""")"),"")</f>
        <v/>
      </c>
      <c r="F27" s="16" t="str">
        <f t="shared" ca="1" si="1"/>
        <v/>
      </c>
      <c r="G27" s="16"/>
      <c r="H27" s="22" t="str">
        <f ca="1">IFERROR(__xludf.dummyfunction("iferror(1000+INT(($N$4-(index(split(G27,"":""),1)*60+index(split(G27,"":""),2 )))/0.2+1)*$N$5,"""")"),"")</f>
        <v/>
      </c>
      <c r="I27" s="16" t="str">
        <f t="shared" ca="1" si="2"/>
        <v/>
      </c>
      <c r="J27" s="22" t="str">
        <f t="shared" si="0"/>
        <v/>
      </c>
      <c r="K27" s="16" t="str">
        <f t="shared" si="3"/>
        <v/>
      </c>
      <c r="L27" s="16"/>
    </row>
    <row r="28" spans="1:12" ht="14.5" x14ac:dyDescent="0.35">
      <c r="A28" s="16"/>
      <c r="B28" s="16"/>
      <c r="C28" s="16"/>
      <c r="D28" s="16"/>
      <c r="E28" s="22" t="str">
        <f ca="1">IFERROR(__xludf.dummyfunction("iferror(1000+INT(($N$2-(index(split(D28,"":""),1)*60+index(split(D28,"":""),2 )))/0.2+1)*$N$3,"""")"),"")</f>
        <v/>
      </c>
      <c r="F28" s="16" t="str">
        <f t="shared" ca="1" si="1"/>
        <v/>
      </c>
      <c r="G28" s="16"/>
      <c r="H28" s="22" t="str">
        <f ca="1">IFERROR(__xludf.dummyfunction("iferror(1000+INT(($N$4-(index(split(G28,"":""),1)*60+index(split(G28,"":""),2 )))/0.2+1)*$N$5,"""")"),"")</f>
        <v/>
      </c>
      <c r="I28" s="16" t="str">
        <f t="shared" ca="1" si="2"/>
        <v/>
      </c>
      <c r="J28" s="22" t="str">
        <f t="shared" si="0"/>
        <v/>
      </c>
      <c r="K28" s="16" t="str">
        <f t="shared" si="3"/>
        <v/>
      </c>
      <c r="L28" s="16"/>
    </row>
    <row r="29" spans="1:12" ht="14.5" x14ac:dyDescent="0.35">
      <c r="A29" s="16"/>
      <c r="B29" s="16"/>
      <c r="C29" s="16"/>
      <c r="D29" s="16"/>
      <c r="E29" s="22" t="str">
        <f ca="1">IFERROR(__xludf.dummyfunction("iferror(1000+INT(($N$2-(index(split(D29,"":""),1)*60+index(split(D29,"":""),2 )))/0.2+1)*$N$3,"""")"),"")</f>
        <v/>
      </c>
      <c r="F29" s="16" t="str">
        <f t="shared" ca="1" si="1"/>
        <v/>
      </c>
      <c r="G29" s="16"/>
      <c r="H29" s="22" t="str">
        <f ca="1">IFERROR(__xludf.dummyfunction("iferror(1000+INT(($N$4-(index(split(G29,"":""),1)*60+index(split(G29,"":""),2 )))/0.2+1)*$N$5,"""")"),"")</f>
        <v/>
      </c>
      <c r="I29" s="16" t="str">
        <f t="shared" ca="1" si="2"/>
        <v/>
      </c>
      <c r="J29" s="22" t="str">
        <f t="shared" si="0"/>
        <v/>
      </c>
      <c r="K29" s="16" t="str">
        <f t="shared" si="3"/>
        <v/>
      </c>
      <c r="L29" s="16"/>
    </row>
    <row r="30" spans="1:12" ht="14.5" x14ac:dyDescent="0.35">
      <c r="A30" s="16"/>
      <c r="B30" s="16"/>
      <c r="C30" s="16"/>
      <c r="D30" s="16"/>
      <c r="E30" s="22" t="str">
        <f ca="1">IFERROR(__xludf.dummyfunction("iferror(1000+INT(($N$2-(index(split(D30,"":""),1)*60+index(split(D30,"":""),2 )))/0.2+1)*$N$3,"""")"),"")</f>
        <v/>
      </c>
      <c r="F30" s="16" t="str">
        <f t="shared" ca="1" si="1"/>
        <v/>
      </c>
      <c r="G30" s="16"/>
      <c r="H30" s="22" t="str">
        <f ca="1">IFERROR(__xludf.dummyfunction("iferror(1000+INT(($N$4-(index(split(G30,"":""),1)*60+index(split(G30,"":""),2 )))/0.2+1)*$N$5,"""")"),"")</f>
        <v/>
      </c>
      <c r="I30" s="16" t="str">
        <f t="shared" ca="1" si="2"/>
        <v/>
      </c>
      <c r="J30" s="22" t="str">
        <f t="shared" si="0"/>
        <v/>
      </c>
      <c r="K30" s="16" t="str">
        <f t="shared" si="3"/>
        <v/>
      </c>
      <c r="L30" s="16"/>
    </row>
    <row r="31" spans="1:12" ht="14.5" x14ac:dyDescent="0.35">
      <c r="A31" s="16"/>
      <c r="B31" s="16"/>
      <c r="C31" s="16"/>
      <c r="D31" s="16"/>
      <c r="E31" s="22" t="str">
        <f ca="1">IFERROR(__xludf.dummyfunction("iferror(1000+INT(($N$2-(index(split(D31,"":""),1)*60+index(split(D31,"":""),2 )))/0.2+1)*$N$3,"""")"),"")</f>
        <v/>
      </c>
      <c r="F31" s="16" t="str">
        <f t="shared" ca="1" si="1"/>
        <v/>
      </c>
      <c r="G31" s="16"/>
      <c r="H31" s="22" t="str">
        <f ca="1">IFERROR(__xludf.dummyfunction("iferror(1000+INT(($N$4-(index(split(G31,"":""),1)*60+index(split(G31,"":""),2 )))/0.2+1)*$N$5,"""")"),"")</f>
        <v/>
      </c>
      <c r="I31" s="16" t="str">
        <f t="shared" ca="1" si="2"/>
        <v/>
      </c>
      <c r="J31" s="22" t="str">
        <f t="shared" si="0"/>
        <v/>
      </c>
      <c r="K31" s="16" t="str">
        <f t="shared" si="3"/>
        <v/>
      </c>
      <c r="L31" s="16"/>
    </row>
    <row r="32" spans="1:12" ht="14.5" x14ac:dyDescent="0.35">
      <c r="A32" s="16"/>
      <c r="B32" s="16"/>
      <c r="C32" s="16"/>
      <c r="D32" s="16"/>
      <c r="E32" s="22" t="str">
        <f ca="1">IFERROR(__xludf.dummyfunction("iferror(1000+INT(($N$2-(index(split(D32,"":""),1)*60+index(split(D32,"":""),2 )))/0.2+1)*$N$3,"""")"),"")</f>
        <v/>
      </c>
      <c r="F32" s="16" t="str">
        <f t="shared" ca="1" si="1"/>
        <v/>
      </c>
      <c r="G32" s="16"/>
      <c r="H32" s="22" t="str">
        <f ca="1">IFERROR(__xludf.dummyfunction("iferror(1000+INT(($N$4-(index(split(G32,"":""),1)*60+index(split(G32,"":""),2 )))/0.2+1)*$N$5,"""")"),"")</f>
        <v/>
      </c>
      <c r="I32" s="16" t="str">
        <f t="shared" ca="1" si="2"/>
        <v/>
      </c>
      <c r="J32" s="22" t="str">
        <f t="shared" si="0"/>
        <v/>
      </c>
      <c r="K32" s="16" t="str">
        <f t="shared" si="3"/>
        <v/>
      </c>
      <c r="L32" s="16"/>
    </row>
    <row r="33" spans="1:12" ht="14.5" x14ac:dyDescent="0.35">
      <c r="A33" s="16"/>
      <c r="B33" s="16"/>
      <c r="C33" s="16"/>
      <c r="D33" s="16"/>
      <c r="E33" s="22" t="str">
        <f ca="1">IFERROR(__xludf.dummyfunction("iferror(1000+INT(($N$2-(index(split(D33,"":""),1)*60+index(split(D33,"":""),2 )))/0.2+1)*$N$3,"""")"),"")</f>
        <v/>
      </c>
      <c r="F33" s="16" t="str">
        <f t="shared" ca="1" si="1"/>
        <v/>
      </c>
      <c r="G33" s="16"/>
      <c r="H33" s="22" t="str">
        <f ca="1">IFERROR(__xludf.dummyfunction("iferror(1000+INT(($N$4-(index(split(G33,"":""),1)*60+index(split(G33,"":""),2 )))/0.2+1)*$N$5,"""")"),"")</f>
        <v/>
      </c>
      <c r="I33" s="16" t="str">
        <f t="shared" ca="1" si="2"/>
        <v/>
      </c>
      <c r="J33" s="22" t="str">
        <f t="shared" si="0"/>
        <v/>
      </c>
      <c r="K33" s="16" t="str">
        <f t="shared" si="3"/>
        <v/>
      </c>
      <c r="L33" s="16"/>
    </row>
    <row r="34" spans="1:12" ht="14.5" x14ac:dyDescent="0.35">
      <c r="A34" s="16"/>
      <c r="B34" s="16"/>
      <c r="C34" s="16"/>
      <c r="D34" s="16"/>
      <c r="E34" s="22" t="str">
        <f ca="1">IFERROR(__xludf.dummyfunction("iferror(1000+INT(($N$2-(index(split(D34,"":""),1)*60+index(split(D34,"":""),2 )))/0.2+1)*$N$3,"""")"),"")</f>
        <v/>
      </c>
      <c r="F34" s="16" t="str">
        <f t="shared" ref="F34:F65" ca="1" si="4">IFERROR(_xlfn.RANK.EQ(E34,E:E),"")</f>
        <v/>
      </c>
      <c r="G34" s="16"/>
      <c r="H34" s="22" t="str">
        <f ca="1">IFERROR(__xludf.dummyfunction("iferror(1000+INT(($N$4-(index(split(G34,"":""),1)*60+index(split(G34,"":""),2 )))/0.2+1)*$N$5,"""")"),"")</f>
        <v/>
      </c>
      <c r="I34" s="16" t="str">
        <f t="shared" ref="I34:I65" ca="1" si="5">IFERROR(_xlfn.RANK.EQ(H34,H:H),"")</f>
        <v/>
      </c>
      <c r="J34" s="22" t="str">
        <f t="shared" si="0"/>
        <v/>
      </c>
      <c r="K34" s="16" t="str">
        <f t="shared" ref="K34:K65" si="6">IFERROR(_xlfn.RANK.EQ(J34,J:J),"")</f>
        <v/>
      </c>
      <c r="L34" s="16"/>
    </row>
    <row r="35" spans="1:12" ht="14.5" x14ac:dyDescent="0.35">
      <c r="A35" s="16"/>
      <c r="B35" s="16"/>
      <c r="C35" s="16"/>
      <c r="D35" s="16"/>
      <c r="E35" s="22" t="str">
        <f ca="1">IFERROR(__xludf.dummyfunction("iferror(1000+INT(($N$2-(index(split(D35,"":""),1)*60+index(split(D35,"":""),2 )))/0.2+1)*$N$3,"""")"),"")</f>
        <v/>
      </c>
      <c r="F35" s="16" t="str">
        <f t="shared" ca="1" si="4"/>
        <v/>
      </c>
      <c r="G35" s="16"/>
      <c r="H35" s="22" t="str">
        <f ca="1">IFERROR(__xludf.dummyfunction("iferror(1000+INT(($N$4-(index(split(G35,"":""),1)*60+index(split(G35,"":""),2 )))/0.2+1)*$N$5,"""")"),"")</f>
        <v/>
      </c>
      <c r="I35" s="16" t="str">
        <f t="shared" ca="1" si="5"/>
        <v/>
      </c>
      <c r="J35" s="22" t="str">
        <f t="shared" si="0"/>
        <v/>
      </c>
      <c r="K35" s="16" t="str">
        <f t="shared" si="6"/>
        <v/>
      </c>
      <c r="L35" s="16"/>
    </row>
    <row r="36" spans="1:12" ht="14.5" x14ac:dyDescent="0.35">
      <c r="A36" s="16"/>
      <c r="B36" s="16"/>
      <c r="C36" s="16"/>
      <c r="D36" s="16"/>
      <c r="E36" s="22" t="str">
        <f ca="1">IFERROR(__xludf.dummyfunction("iferror(1000+INT(($N$2-(index(split(D36,"":""),1)*60+index(split(D36,"":""),2 )))/0.2+1)*$N$3,"""")"),"")</f>
        <v/>
      </c>
      <c r="F36" s="16" t="str">
        <f t="shared" ca="1" si="4"/>
        <v/>
      </c>
      <c r="G36" s="16"/>
      <c r="H36" s="22" t="str">
        <f ca="1">IFERROR(__xludf.dummyfunction("iferror(1000+INT(($N$4-(index(split(G36,"":""),1)*60+index(split(G36,"":""),2 )))/0.2+1)*$N$5,"""")"),"")</f>
        <v/>
      </c>
      <c r="I36" s="16" t="str">
        <f t="shared" ca="1" si="5"/>
        <v/>
      </c>
      <c r="J36" s="22" t="str">
        <f t="shared" si="0"/>
        <v/>
      </c>
      <c r="K36" s="16" t="str">
        <f t="shared" si="6"/>
        <v/>
      </c>
      <c r="L36" s="16"/>
    </row>
    <row r="37" spans="1:12" ht="14.5" x14ac:dyDescent="0.35">
      <c r="A37" s="16"/>
      <c r="B37" s="16"/>
      <c r="C37" s="16"/>
      <c r="D37" s="16"/>
      <c r="E37" s="22" t="str">
        <f ca="1">IFERROR(__xludf.dummyfunction("iferror(1000+INT(($N$2-(index(split(D37,"":""),1)*60+index(split(D37,"":""),2 )))/0.2+1)*$N$3,"""")"),"")</f>
        <v/>
      </c>
      <c r="F37" s="16" t="str">
        <f t="shared" ca="1" si="4"/>
        <v/>
      </c>
      <c r="G37" s="16"/>
      <c r="H37" s="22" t="str">
        <f ca="1">IFERROR(__xludf.dummyfunction("iferror(1000+INT(($N$4-(index(split(G37,"":""),1)*60+index(split(G37,"":""),2 )))/0.2+1)*$N$5,"""")"),"")</f>
        <v/>
      </c>
      <c r="I37" s="16" t="str">
        <f t="shared" ca="1" si="5"/>
        <v/>
      </c>
      <c r="J37" s="22" t="str">
        <f t="shared" si="0"/>
        <v/>
      </c>
      <c r="K37" s="16" t="str">
        <f t="shared" si="6"/>
        <v/>
      </c>
      <c r="L37" s="16"/>
    </row>
    <row r="38" spans="1:12" ht="14.5" x14ac:dyDescent="0.35">
      <c r="A38" s="16"/>
      <c r="B38" s="16"/>
      <c r="C38" s="16"/>
      <c r="D38" s="16"/>
      <c r="E38" s="22" t="str">
        <f ca="1">IFERROR(__xludf.dummyfunction("iferror(1000+INT(($N$2-(index(split(D38,"":""),1)*60+index(split(D38,"":""),2 )))/0.2+1)*$N$3,"""")"),"")</f>
        <v/>
      </c>
      <c r="F38" s="16" t="str">
        <f t="shared" ca="1" si="4"/>
        <v/>
      </c>
      <c r="G38" s="16"/>
      <c r="H38" s="22" t="str">
        <f ca="1">IFERROR(__xludf.dummyfunction("iferror(1000+INT(($N$4-(index(split(G38,"":""),1)*60+index(split(G38,"":""),2 )))/0.2+1)*$N$5,"""")"),"")</f>
        <v/>
      </c>
      <c r="I38" s="16" t="str">
        <f t="shared" ca="1" si="5"/>
        <v/>
      </c>
      <c r="J38" s="22" t="str">
        <f t="shared" si="0"/>
        <v/>
      </c>
      <c r="K38" s="16" t="str">
        <f t="shared" si="6"/>
        <v/>
      </c>
      <c r="L38" s="16"/>
    </row>
    <row r="39" spans="1:12" ht="14.5" x14ac:dyDescent="0.35">
      <c r="A39" s="16"/>
      <c r="B39" s="16"/>
      <c r="C39" s="16"/>
      <c r="D39" s="16"/>
      <c r="E39" s="22" t="str">
        <f ca="1">IFERROR(__xludf.dummyfunction("iferror(1000+INT(($N$2-(index(split(D39,"":""),1)*60+index(split(D39,"":""),2 )))/0.2+1)*$N$3,"""")"),"")</f>
        <v/>
      </c>
      <c r="F39" s="16" t="str">
        <f t="shared" ca="1" si="4"/>
        <v/>
      </c>
      <c r="G39" s="16"/>
      <c r="H39" s="22" t="str">
        <f ca="1">IFERROR(__xludf.dummyfunction("iferror(1000+INT(($N$4-(index(split(G39,"":""),1)*60+index(split(G39,"":""),2 )))/0.2+1)*$N$5,"""")"),"")</f>
        <v/>
      </c>
      <c r="I39" s="16" t="str">
        <f t="shared" ca="1" si="5"/>
        <v/>
      </c>
      <c r="J39" s="22" t="str">
        <f t="shared" si="0"/>
        <v/>
      </c>
      <c r="K39" s="16" t="str">
        <f t="shared" si="6"/>
        <v/>
      </c>
      <c r="L39" s="16"/>
    </row>
    <row r="40" spans="1:12" ht="14.5" x14ac:dyDescent="0.35">
      <c r="A40" s="16"/>
      <c r="B40" s="16"/>
      <c r="C40" s="16"/>
      <c r="D40" s="16"/>
      <c r="E40" s="22" t="str">
        <f ca="1">IFERROR(__xludf.dummyfunction("iferror(1000+INT(($N$2-(index(split(D40,"":""),1)*60+index(split(D40,"":""),2 )))/0.2+1)*$N$3,"""")"),"")</f>
        <v/>
      </c>
      <c r="F40" s="16" t="str">
        <f t="shared" ca="1" si="4"/>
        <v/>
      </c>
      <c r="G40" s="16"/>
      <c r="H40" s="22" t="str">
        <f ca="1">IFERROR(__xludf.dummyfunction("iferror(1000+INT(($N$4-(index(split(G40,"":""),1)*60+index(split(G40,"":""),2 )))/0.2+1)*$N$5,"""")"),"")</f>
        <v/>
      </c>
      <c r="I40" s="16" t="str">
        <f t="shared" ca="1" si="5"/>
        <v/>
      </c>
      <c r="J40" s="22" t="str">
        <f t="shared" si="0"/>
        <v/>
      </c>
      <c r="K40" s="16" t="str">
        <f t="shared" si="6"/>
        <v/>
      </c>
      <c r="L40" s="16"/>
    </row>
    <row r="41" spans="1:12" ht="14.5" x14ac:dyDescent="0.35">
      <c r="A41" s="16"/>
      <c r="B41" s="16"/>
      <c r="C41" s="16"/>
      <c r="D41" s="16"/>
      <c r="E41" s="22" t="str">
        <f ca="1">IFERROR(__xludf.dummyfunction("iferror(1000+INT(($N$2-(index(split(D41,"":""),1)*60+index(split(D41,"":""),2 )))/0.2+1)*$N$3,"""")"),"")</f>
        <v/>
      </c>
      <c r="F41" s="16" t="str">
        <f t="shared" ca="1" si="4"/>
        <v/>
      </c>
      <c r="G41" s="16"/>
      <c r="H41" s="22" t="str">
        <f ca="1">IFERROR(__xludf.dummyfunction("iferror(1000+INT(($N$4-(index(split(G41,"":""),1)*60+index(split(G41,"":""),2 )))/0.2+1)*$N$5,"""")"),"")</f>
        <v/>
      </c>
      <c r="I41" s="16" t="str">
        <f t="shared" ca="1" si="5"/>
        <v/>
      </c>
      <c r="J41" s="22" t="str">
        <f t="shared" si="0"/>
        <v/>
      </c>
      <c r="K41" s="16" t="str">
        <f t="shared" si="6"/>
        <v/>
      </c>
      <c r="L41" s="16"/>
    </row>
    <row r="42" spans="1:12" ht="14.5" x14ac:dyDescent="0.35">
      <c r="A42" s="16"/>
      <c r="B42" s="16"/>
      <c r="C42" s="16"/>
      <c r="D42" s="16"/>
      <c r="E42" s="22" t="str">
        <f ca="1">IFERROR(__xludf.dummyfunction("iferror(1000+INT(($N$2-(index(split(D42,"":""),1)*60+index(split(D42,"":""),2 )))/0.2+1)*$N$3,"""")"),"")</f>
        <v/>
      </c>
      <c r="F42" s="16" t="str">
        <f t="shared" ca="1" si="4"/>
        <v/>
      </c>
      <c r="G42" s="16"/>
      <c r="H42" s="22" t="str">
        <f ca="1">IFERROR(__xludf.dummyfunction("iferror(1000+INT(($N$4-(index(split(G42,"":""),1)*60+index(split(G42,"":""),2 )))/0.2+1)*$N$5,"""")"),"")</f>
        <v/>
      </c>
      <c r="I42" s="16" t="str">
        <f t="shared" ca="1" si="5"/>
        <v/>
      </c>
      <c r="J42" s="22" t="str">
        <f t="shared" si="0"/>
        <v/>
      </c>
      <c r="K42" s="16" t="str">
        <f t="shared" si="6"/>
        <v/>
      </c>
      <c r="L42" s="16"/>
    </row>
    <row r="43" spans="1:12" ht="14.5" x14ac:dyDescent="0.35">
      <c r="A43" s="16"/>
      <c r="B43" s="16"/>
      <c r="C43" s="16"/>
      <c r="D43" s="16"/>
      <c r="E43" s="22" t="str">
        <f ca="1">IFERROR(__xludf.dummyfunction("iferror(1000+INT(($N$2-(index(split(D43,"":""),1)*60+index(split(D43,"":""),2 )))/0.2+1)*$N$3,"""")"),"")</f>
        <v/>
      </c>
      <c r="F43" s="16" t="str">
        <f t="shared" ca="1" si="4"/>
        <v/>
      </c>
      <c r="G43" s="16"/>
      <c r="H43" s="22" t="str">
        <f ca="1">IFERROR(__xludf.dummyfunction("iferror(1000+INT(($N$4-(index(split(G43,"":""),1)*60+index(split(G43,"":""),2 )))/0.2+1)*$N$5,"""")"),"")</f>
        <v/>
      </c>
      <c r="I43" s="16" t="str">
        <f t="shared" ca="1" si="5"/>
        <v/>
      </c>
      <c r="J43" s="22" t="str">
        <f t="shared" si="0"/>
        <v/>
      </c>
      <c r="K43" s="16" t="str">
        <f t="shared" si="6"/>
        <v/>
      </c>
      <c r="L43" s="16"/>
    </row>
    <row r="44" spans="1:12" ht="14.5" x14ac:dyDescent="0.35">
      <c r="A44" s="16"/>
      <c r="B44" s="16"/>
      <c r="C44" s="16"/>
      <c r="D44" s="16"/>
      <c r="E44" s="22" t="str">
        <f ca="1">IFERROR(__xludf.dummyfunction("iferror(1000+INT(($N$2-(index(split(D44,"":""),1)*60+index(split(D44,"":""),2 )))/0.2+1)*$N$3,"""")"),"")</f>
        <v/>
      </c>
      <c r="F44" s="16" t="str">
        <f t="shared" ca="1" si="4"/>
        <v/>
      </c>
      <c r="G44" s="16"/>
      <c r="H44" s="22" t="str">
        <f ca="1">IFERROR(__xludf.dummyfunction("iferror(1000+INT(($N$4-(index(split(G44,"":""),1)*60+index(split(G44,"":""),2 )))/0.2+1)*$N$5,"""")"),"")</f>
        <v/>
      </c>
      <c r="I44" s="16" t="str">
        <f t="shared" ca="1" si="5"/>
        <v/>
      </c>
      <c r="J44" s="22" t="str">
        <f t="shared" si="0"/>
        <v/>
      </c>
      <c r="K44" s="16" t="str">
        <f t="shared" si="6"/>
        <v/>
      </c>
      <c r="L44" s="16"/>
    </row>
    <row r="45" spans="1:12" ht="14.5" x14ac:dyDescent="0.35">
      <c r="A45" s="16"/>
      <c r="B45" s="16"/>
      <c r="C45" s="16"/>
      <c r="D45" s="16"/>
      <c r="E45" s="22" t="str">
        <f ca="1">IFERROR(__xludf.dummyfunction("iferror(1000+INT(($N$2-(index(split(D45,"":""),1)*60+index(split(D45,"":""),2 )))/0.2+1)*$N$3,"""")"),"")</f>
        <v/>
      </c>
      <c r="F45" s="16" t="str">
        <f t="shared" ca="1" si="4"/>
        <v/>
      </c>
      <c r="G45" s="16"/>
      <c r="H45" s="22" t="str">
        <f ca="1">IFERROR(__xludf.dummyfunction("iferror(1000+INT(($N$4-(index(split(G45,"":""),1)*60+index(split(G45,"":""),2 )))/0.2+1)*$N$5,"""")"),"")</f>
        <v/>
      </c>
      <c r="I45" s="16" t="str">
        <f t="shared" ca="1" si="5"/>
        <v/>
      </c>
      <c r="J45" s="22" t="str">
        <f t="shared" si="0"/>
        <v/>
      </c>
      <c r="K45" s="16" t="str">
        <f t="shared" si="6"/>
        <v/>
      </c>
      <c r="L45" s="16"/>
    </row>
    <row r="46" spans="1:12" ht="14.5" x14ac:dyDescent="0.35">
      <c r="A46" s="16"/>
      <c r="B46" s="16"/>
      <c r="C46" s="16"/>
      <c r="D46" s="16"/>
      <c r="E46" s="22" t="str">
        <f ca="1">IFERROR(__xludf.dummyfunction("iferror(1000+INT(($N$2-(index(split(D46,"":""),1)*60+index(split(D46,"":""),2 )))/0.2+1)*$N$3,"""")"),"")</f>
        <v/>
      </c>
      <c r="F46" s="16" t="str">
        <f t="shared" ca="1" si="4"/>
        <v/>
      </c>
      <c r="G46" s="16"/>
      <c r="H46" s="22" t="str">
        <f ca="1">IFERROR(__xludf.dummyfunction("iferror(1000+INT(($N$4-(index(split(G46,"":""),1)*60+index(split(G46,"":""),2 )))/0.2+1)*$N$5,"""")"),"")</f>
        <v/>
      </c>
      <c r="I46" s="16" t="str">
        <f t="shared" ca="1" si="5"/>
        <v/>
      </c>
      <c r="J46" s="22" t="str">
        <f t="shared" si="0"/>
        <v/>
      </c>
      <c r="K46" s="16" t="str">
        <f t="shared" si="6"/>
        <v/>
      </c>
      <c r="L46" s="16"/>
    </row>
    <row r="47" spans="1:12" ht="14.5" x14ac:dyDescent="0.35">
      <c r="A47" s="16"/>
      <c r="B47" s="16"/>
      <c r="C47" s="16"/>
      <c r="D47" s="16"/>
      <c r="E47" s="22" t="str">
        <f ca="1">IFERROR(__xludf.dummyfunction("iferror(1000+INT(($N$2-(index(split(D47,"":""),1)*60+index(split(D47,"":""),2 )))/0.2+1)*$N$3,"""")"),"")</f>
        <v/>
      </c>
      <c r="F47" s="16" t="str">
        <f t="shared" ca="1" si="4"/>
        <v/>
      </c>
      <c r="G47" s="16"/>
      <c r="H47" s="22" t="str">
        <f ca="1">IFERROR(__xludf.dummyfunction("iferror(1000+INT(($N$4-(index(split(G47,"":""),1)*60+index(split(G47,"":""),2 )))/0.2+1)*$N$5,"""")"),"")</f>
        <v/>
      </c>
      <c r="I47" s="16" t="str">
        <f t="shared" ca="1" si="5"/>
        <v/>
      </c>
      <c r="J47" s="22" t="str">
        <f t="shared" si="0"/>
        <v/>
      </c>
      <c r="K47" s="16" t="str">
        <f t="shared" si="6"/>
        <v/>
      </c>
      <c r="L47" s="16"/>
    </row>
    <row r="48" spans="1:12" ht="14.5" x14ac:dyDescent="0.35">
      <c r="A48" s="16"/>
      <c r="B48" s="16"/>
      <c r="C48" s="16"/>
      <c r="D48" s="16"/>
      <c r="E48" s="22" t="str">
        <f ca="1">IFERROR(__xludf.dummyfunction("iferror(1000+INT(($N$2-(index(split(D48,"":""),1)*60+index(split(D48,"":""),2 )))/0.2+1)*$N$3,"""")"),"")</f>
        <v/>
      </c>
      <c r="F48" s="16" t="str">
        <f t="shared" ca="1" si="4"/>
        <v/>
      </c>
      <c r="G48" s="16"/>
      <c r="H48" s="22" t="str">
        <f ca="1">IFERROR(__xludf.dummyfunction("iferror(1000+INT(($N$4-(index(split(G48,"":""),1)*60+index(split(G48,"":""),2 )))/0.2+1)*$N$5,"""")"),"")</f>
        <v/>
      </c>
      <c r="I48" s="16" t="str">
        <f t="shared" ca="1" si="5"/>
        <v/>
      </c>
      <c r="J48" s="22" t="str">
        <f t="shared" si="0"/>
        <v/>
      </c>
      <c r="K48" s="16" t="str">
        <f t="shared" si="6"/>
        <v/>
      </c>
      <c r="L48" s="16"/>
    </row>
    <row r="49" spans="1:12" ht="14.5" x14ac:dyDescent="0.35">
      <c r="A49" s="16"/>
      <c r="B49" s="16"/>
      <c r="C49" s="16"/>
      <c r="D49" s="16"/>
      <c r="E49" s="22" t="str">
        <f ca="1">IFERROR(__xludf.dummyfunction("iferror(1000+INT(($N$2-(index(split(D49,"":""),1)*60+index(split(D49,"":""),2 )))/0.2+1)*$N$3,"""")"),"")</f>
        <v/>
      </c>
      <c r="F49" s="16" t="str">
        <f t="shared" ca="1" si="4"/>
        <v/>
      </c>
      <c r="G49" s="16"/>
      <c r="H49" s="22" t="str">
        <f ca="1">IFERROR(__xludf.dummyfunction("iferror(1000+INT(($N$4-(index(split(G49,"":""),1)*60+index(split(G49,"":""),2 )))/0.2+1)*$N$5,"""")"),"")</f>
        <v/>
      </c>
      <c r="I49" s="16" t="str">
        <f t="shared" ca="1" si="5"/>
        <v/>
      </c>
      <c r="J49" s="22" t="str">
        <f t="shared" si="0"/>
        <v/>
      </c>
      <c r="K49" s="16" t="str">
        <f t="shared" si="6"/>
        <v/>
      </c>
      <c r="L49" s="16"/>
    </row>
    <row r="50" spans="1:12" ht="14.5" x14ac:dyDescent="0.35">
      <c r="A50" s="16"/>
      <c r="B50" s="16"/>
      <c r="C50" s="16"/>
      <c r="D50" s="16"/>
      <c r="E50" s="22" t="str">
        <f ca="1">IFERROR(__xludf.dummyfunction("iferror(1000+INT(($N$2-(index(split(D50,"":""),1)*60+index(split(D50,"":""),2 )))/0.2+1)*$N$3,"""")"),"")</f>
        <v/>
      </c>
      <c r="F50" s="16" t="str">
        <f t="shared" ca="1" si="4"/>
        <v/>
      </c>
      <c r="G50" s="16"/>
      <c r="H50" s="22" t="str">
        <f ca="1">IFERROR(__xludf.dummyfunction("iferror(1000+INT(($N$4-(index(split(G50,"":""),1)*60+index(split(G50,"":""),2 )))/0.2+1)*$N$5,"""")"),"")</f>
        <v/>
      </c>
      <c r="I50" s="16" t="str">
        <f t="shared" ca="1" si="5"/>
        <v/>
      </c>
      <c r="J50" s="22" t="str">
        <f t="shared" si="0"/>
        <v/>
      </c>
      <c r="K50" s="16" t="str">
        <f t="shared" si="6"/>
        <v/>
      </c>
      <c r="L50" s="16"/>
    </row>
    <row r="51" spans="1:12" ht="14.5" x14ac:dyDescent="0.35">
      <c r="A51" s="16"/>
      <c r="B51" s="16"/>
      <c r="C51" s="16"/>
      <c r="D51" s="16"/>
      <c r="E51" s="22" t="str">
        <f ca="1">IFERROR(__xludf.dummyfunction("iferror(1000+INT(($N$2-(index(split(D51,"":""),1)*60+index(split(D51,"":""),2 )))/0.2+1)*$N$3,"""")"),"")</f>
        <v/>
      </c>
      <c r="F51" s="16" t="str">
        <f t="shared" ca="1" si="4"/>
        <v/>
      </c>
      <c r="G51" s="16"/>
      <c r="H51" s="22" t="str">
        <f ca="1">IFERROR(__xludf.dummyfunction("iferror(1000+INT(($N$4-(index(split(G51,"":""),1)*60+index(split(G51,"":""),2 )))/0.2+1)*$N$5,"""")"),"")</f>
        <v/>
      </c>
      <c r="I51" s="16" t="str">
        <f t="shared" ca="1" si="5"/>
        <v/>
      </c>
      <c r="J51" s="22" t="str">
        <f t="shared" si="0"/>
        <v/>
      </c>
      <c r="K51" s="16" t="str">
        <f t="shared" si="6"/>
        <v/>
      </c>
      <c r="L51" s="16"/>
    </row>
    <row r="52" spans="1:12" ht="14.5" x14ac:dyDescent="0.35">
      <c r="A52" s="16"/>
      <c r="B52" s="16"/>
      <c r="C52" s="16"/>
      <c r="D52" s="16"/>
      <c r="E52" s="22" t="str">
        <f ca="1">IFERROR(__xludf.dummyfunction("iferror(1000+INT(($N$2-(index(split(D52,"":""),1)*60+index(split(D52,"":""),2 )))/0.2+1)*$N$3,"""")"),"")</f>
        <v/>
      </c>
      <c r="F52" s="16" t="str">
        <f t="shared" ca="1" si="4"/>
        <v/>
      </c>
      <c r="G52" s="16"/>
      <c r="H52" s="22" t="str">
        <f ca="1">IFERROR(__xludf.dummyfunction("iferror(1000+INT(($N$4-(index(split(G52,"":""),1)*60+index(split(G52,"":""),2 )))/0.2+1)*$N$5,"""")"),"")</f>
        <v/>
      </c>
      <c r="I52" s="16" t="str">
        <f t="shared" ca="1" si="5"/>
        <v/>
      </c>
      <c r="J52" s="22" t="str">
        <f t="shared" si="0"/>
        <v/>
      </c>
      <c r="K52" s="16" t="str">
        <f t="shared" si="6"/>
        <v/>
      </c>
      <c r="L52" s="16"/>
    </row>
    <row r="53" spans="1:12" ht="14.5" x14ac:dyDescent="0.35">
      <c r="A53" s="16"/>
      <c r="B53" s="16"/>
      <c r="C53" s="16"/>
      <c r="D53" s="16"/>
      <c r="E53" s="22" t="str">
        <f ca="1">IFERROR(__xludf.dummyfunction("iferror(1000+INT(($N$2-(index(split(D53,"":""),1)*60+index(split(D53,"":""),2 )))/0.2+1)*$N$3,"""")"),"")</f>
        <v/>
      </c>
      <c r="F53" s="16" t="str">
        <f t="shared" ca="1" si="4"/>
        <v/>
      </c>
      <c r="G53" s="16"/>
      <c r="H53" s="22" t="str">
        <f ca="1">IFERROR(__xludf.dummyfunction("iferror(1000+INT(($N$4-(index(split(G53,"":""),1)*60+index(split(G53,"":""),2 )))/0.2+1)*$N$5,"""")"),"")</f>
        <v/>
      </c>
      <c r="I53" s="16" t="str">
        <f t="shared" ca="1" si="5"/>
        <v/>
      </c>
      <c r="J53" s="22" t="str">
        <f t="shared" si="0"/>
        <v/>
      </c>
      <c r="K53" s="16" t="str">
        <f t="shared" si="6"/>
        <v/>
      </c>
      <c r="L53" s="16"/>
    </row>
    <row r="54" spans="1:12" ht="14.5" x14ac:dyDescent="0.35">
      <c r="A54" s="16"/>
      <c r="B54" s="16"/>
      <c r="C54" s="16"/>
      <c r="D54" s="16"/>
      <c r="E54" s="22" t="str">
        <f ca="1">IFERROR(__xludf.dummyfunction("iferror(1000+INT(($N$2-(index(split(D54,"":""),1)*60+index(split(D54,"":""),2 )))/0.2+1)*$N$3,"""")"),"")</f>
        <v/>
      </c>
      <c r="F54" s="16" t="str">
        <f t="shared" ca="1" si="4"/>
        <v/>
      </c>
      <c r="G54" s="16"/>
      <c r="H54" s="22" t="str">
        <f ca="1">IFERROR(__xludf.dummyfunction("iferror(1000+INT(($N$4-(index(split(G54,"":""),1)*60+index(split(G54,"":""),2 )))/0.2+1)*$N$5,"""")"),"")</f>
        <v/>
      </c>
      <c r="I54" s="16" t="str">
        <f t="shared" ca="1" si="5"/>
        <v/>
      </c>
      <c r="J54" s="22" t="str">
        <f t="shared" si="0"/>
        <v/>
      </c>
      <c r="K54" s="16" t="str">
        <f t="shared" si="6"/>
        <v/>
      </c>
      <c r="L54" s="16"/>
    </row>
    <row r="55" spans="1:12" ht="14.5" x14ac:dyDescent="0.35">
      <c r="A55" s="16"/>
      <c r="B55" s="16"/>
      <c r="C55" s="16"/>
      <c r="D55" s="16"/>
      <c r="E55" s="22" t="str">
        <f ca="1">IFERROR(__xludf.dummyfunction("iferror(1000+INT(($N$2-(index(split(D55,"":""),1)*60+index(split(D55,"":""),2 )))/0.2+1)*$N$3,"""")"),"")</f>
        <v/>
      </c>
      <c r="F55" s="16" t="str">
        <f t="shared" ca="1" si="4"/>
        <v/>
      </c>
      <c r="G55" s="16"/>
      <c r="H55" s="22" t="str">
        <f ca="1">IFERROR(__xludf.dummyfunction("iferror(1000+INT(($N$4-(index(split(G55,"":""),1)*60+index(split(G55,"":""),2 )))/0.2+1)*$N$5,"""")"),"")</f>
        <v/>
      </c>
      <c r="I55" s="16" t="str">
        <f t="shared" ca="1" si="5"/>
        <v/>
      </c>
      <c r="J55" s="22" t="str">
        <f t="shared" si="0"/>
        <v/>
      </c>
      <c r="K55" s="16" t="str">
        <f t="shared" si="6"/>
        <v/>
      </c>
      <c r="L55" s="16"/>
    </row>
    <row r="56" spans="1:12" ht="14.5" x14ac:dyDescent="0.35">
      <c r="A56" s="16"/>
      <c r="B56" s="16"/>
      <c r="C56" s="16"/>
      <c r="D56" s="16"/>
      <c r="E56" s="22" t="str">
        <f ca="1">IFERROR(__xludf.dummyfunction("iferror(1000+INT(($N$2-(index(split(D56,"":""),1)*60+index(split(D56,"":""),2 )))/0.2+1)*$N$3,"""")"),"")</f>
        <v/>
      </c>
      <c r="F56" s="16" t="str">
        <f t="shared" ca="1" si="4"/>
        <v/>
      </c>
      <c r="G56" s="16"/>
      <c r="H56" s="22" t="str">
        <f ca="1">IFERROR(__xludf.dummyfunction("iferror(1000+INT(($N$4-(index(split(G56,"":""),1)*60+index(split(G56,"":""),2 )))/0.2+1)*$N$5,"""")"),"")</f>
        <v/>
      </c>
      <c r="I56" s="16" t="str">
        <f t="shared" ca="1" si="5"/>
        <v/>
      </c>
      <c r="J56" s="22" t="str">
        <f t="shared" si="0"/>
        <v/>
      </c>
      <c r="K56" s="16" t="str">
        <f t="shared" si="6"/>
        <v/>
      </c>
      <c r="L56" s="16"/>
    </row>
    <row r="57" spans="1:12" ht="14.5" x14ac:dyDescent="0.35">
      <c r="A57" s="16"/>
      <c r="B57" s="16"/>
      <c r="C57" s="16"/>
      <c r="D57" s="16"/>
      <c r="E57" s="22" t="str">
        <f ca="1">IFERROR(__xludf.dummyfunction("iferror(1000+INT(($N$2-(index(split(D57,"":""),1)*60+index(split(D57,"":""),2 )))/0.2+1)*$N$3,"""")"),"")</f>
        <v/>
      </c>
      <c r="F57" s="16" t="str">
        <f t="shared" ca="1" si="4"/>
        <v/>
      </c>
      <c r="G57" s="16"/>
      <c r="H57" s="22" t="str">
        <f ca="1">IFERROR(__xludf.dummyfunction("iferror(1000+INT(($N$4-(index(split(G57,"":""),1)*60+index(split(G57,"":""),2 )))/0.2+1)*$N$5,"""")"),"")</f>
        <v/>
      </c>
      <c r="I57" s="16" t="str">
        <f t="shared" ca="1" si="5"/>
        <v/>
      </c>
      <c r="J57" s="22" t="str">
        <f t="shared" si="0"/>
        <v/>
      </c>
      <c r="K57" s="16" t="str">
        <f t="shared" si="6"/>
        <v/>
      </c>
      <c r="L57" s="16"/>
    </row>
    <row r="58" spans="1:12" ht="14.5" x14ac:dyDescent="0.35">
      <c r="A58" s="16"/>
      <c r="B58" s="16"/>
      <c r="C58" s="16"/>
      <c r="D58" s="16"/>
      <c r="E58" s="22" t="str">
        <f ca="1">IFERROR(__xludf.dummyfunction("iferror(1000+INT(($N$2-(index(split(D58,"":""),1)*60+index(split(D58,"":""),2 )))/0.2+1)*$N$3,"""")"),"")</f>
        <v/>
      </c>
      <c r="F58" s="16" t="str">
        <f t="shared" ca="1" si="4"/>
        <v/>
      </c>
      <c r="G58" s="16"/>
      <c r="H58" s="22" t="str">
        <f ca="1">IFERROR(__xludf.dummyfunction("iferror(1000+INT(($N$4-(index(split(G58,"":""),1)*60+index(split(G58,"":""),2 )))/0.2+1)*$N$5,"""")"),"")</f>
        <v/>
      </c>
      <c r="I58" s="16" t="str">
        <f t="shared" ca="1" si="5"/>
        <v/>
      </c>
      <c r="J58" s="22" t="str">
        <f t="shared" si="0"/>
        <v/>
      </c>
      <c r="K58" s="16" t="str">
        <f t="shared" si="6"/>
        <v/>
      </c>
      <c r="L58" s="16"/>
    </row>
    <row r="59" spans="1:12" ht="14.5" x14ac:dyDescent="0.35">
      <c r="A59" s="16"/>
      <c r="B59" s="16"/>
      <c r="C59" s="16"/>
      <c r="D59" s="16"/>
      <c r="E59" s="22" t="str">
        <f ca="1">IFERROR(__xludf.dummyfunction("iferror(1000+INT(($N$2-(index(split(D59,"":""),1)*60+index(split(D59,"":""),2 )))/0.2+1)*$N$3,"""")"),"")</f>
        <v/>
      </c>
      <c r="F59" s="16" t="str">
        <f t="shared" ca="1" si="4"/>
        <v/>
      </c>
      <c r="G59" s="16"/>
      <c r="H59" s="22" t="str">
        <f ca="1">IFERROR(__xludf.dummyfunction("iferror(1000+INT(($N$4-(index(split(G59,"":""),1)*60+index(split(G59,"":""),2 )))/0.2+1)*$N$5,"""")"),"")</f>
        <v/>
      </c>
      <c r="I59" s="16" t="str">
        <f t="shared" ca="1" si="5"/>
        <v/>
      </c>
      <c r="J59" s="22" t="str">
        <f t="shared" si="0"/>
        <v/>
      </c>
      <c r="K59" s="16" t="str">
        <f t="shared" si="6"/>
        <v/>
      </c>
      <c r="L59" s="16"/>
    </row>
    <row r="60" spans="1:12" ht="14.5" x14ac:dyDescent="0.35">
      <c r="A60" s="16"/>
      <c r="B60" s="16"/>
      <c r="C60" s="16"/>
      <c r="D60" s="16"/>
      <c r="E60" s="22" t="str">
        <f ca="1">IFERROR(__xludf.dummyfunction("iferror(1000+INT(($N$2-(index(split(D60,"":""),1)*60+index(split(D60,"":""),2 )))/0.2+1)*$N$3,"""")"),"")</f>
        <v/>
      </c>
      <c r="F60" s="16" t="str">
        <f t="shared" ca="1" si="4"/>
        <v/>
      </c>
      <c r="G60" s="16"/>
      <c r="H60" s="22" t="str">
        <f ca="1">IFERROR(__xludf.dummyfunction("iferror(1000+INT(($N$4-(index(split(G60,"":""),1)*60+index(split(G60,"":""),2 )))/0.2+1)*$N$5,"""")"),"")</f>
        <v/>
      </c>
      <c r="I60" s="16" t="str">
        <f t="shared" ca="1" si="5"/>
        <v/>
      </c>
      <c r="J60" s="22" t="str">
        <f t="shared" si="0"/>
        <v/>
      </c>
      <c r="K60" s="16" t="str">
        <f t="shared" si="6"/>
        <v/>
      </c>
      <c r="L60" s="16"/>
    </row>
    <row r="61" spans="1:12" ht="14.5" x14ac:dyDescent="0.35">
      <c r="A61" s="16"/>
      <c r="B61" s="16"/>
      <c r="C61" s="16"/>
      <c r="D61" s="16"/>
      <c r="E61" s="22" t="str">
        <f ca="1">IFERROR(__xludf.dummyfunction("iferror(1000+INT(($N$2-(index(split(D61,"":""),1)*60+index(split(D61,"":""),2 )))/0.2+1)*$N$3,"""")"),"")</f>
        <v/>
      </c>
      <c r="F61" s="16" t="str">
        <f t="shared" ca="1" si="4"/>
        <v/>
      </c>
      <c r="G61" s="16"/>
      <c r="H61" s="22" t="str">
        <f ca="1">IFERROR(__xludf.dummyfunction("iferror(1000+INT(($N$4-(index(split(G61,"":""),1)*60+index(split(G61,"":""),2 )))/0.2+1)*$N$5,"""")"),"")</f>
        <v/>
      </c>
      <c r="I61" s="16" t="str">
        <f t="shared" ca="1" si="5"/>
        <v/>
      </c>
      <c r="J61" s="22" t="str">
        <f t="shared" si="0"/>
        <v/>
      </c>
      <c r="K61" s="16" t="str">
        <f t="shared" si="6"/>
        <v/>
      </c>
      <c r="L61" s="16"/>
    </row>
    <row r="62" spans="1:12" ht="14.5" x14ac:dyDescent="0.35">
      <c r="A62" s="16"/>
      <c r="B62" s="16"/>
      <c r="C62" s="16"/>
      <c r="D62" s="16"/>
      <c r="E62" s="22" t="str">
        <f ca="1">IFERROR(__xludf.dummyfunction("iferror(1000+INT(($N$2-(index(split(D62,"":""),1)*60+index(split(D62,"":""),2 )))/0.2+1)*$N$3,"""")"),"")</f>
        <v/>
      </c>
      <c r="F62" s="16" t="str">
        <f t="shared" ca="1" si="4"/>
        <v/>
      </c>
      <c r="G62" s="16"/>
      <c r="H62" s="22" t="str">
        <f ca="1">IFERROR(__xludf.dummyfunction("iferror(1000+INT(($N$4-(index(split(G62,"":""),1)*60+index(split(G62,"":""),2 )))/0.2+1)*$N$5,"""")"),"")</f>
        <v/>
      </c>
      <c r="I62" s="16" t="str">
        <f t="shared" ca="1" si="5"/>
        <v/>
      </c>
      <c r="J62" s="22" t="str">
        <f t="shared" si="0"/>
        <v/>
      </c>
      <c r="K62" s="16" t="str">
        <f t="shared" si="6"/>
        <v/>
      </c>
      <c r="L62" s="16"/>
    </row>
    <row r="63" spans="1:12" ht="14.5" x14ac:dyDescent="0.35">
      <c r="A63" s="16"/>
      <c r="B63" s="16"/>
      <c r="C63" s="16"/>
      <c r="D63" s="16"/>
      <c r="E63" s="22" t="str">
        <f ca="1">IFERROR(__xludf.dummyfunction("iferror(1000+INT(($N$2-(index(split(D63,"":""),1)*60+index(split(D63,"":""),2 )))/0.2+1)*$N$3,"""")"),"")</f>
        <v/>
      </c>
      <c r="F63" s="16" t="str">
        <f t="shared" ca="1" si="4"/>
        <v/>
      </c>
      <c r="G63" s="16"/>
      <c r="H63" s="22" t="str">
        <f ca="1">IFERROR(__xludf.dummyfunction("iferror(1000+INT(($N$4-(index(split(G63,"":""),1)*60+index(split(G63,"":""),2 )))/0.2+1)*$N$5,"""")"),"")</f>
        <v/>
      </c>
      <c r="I63" s="16" t="str">
        <f t="shared" ca="1" si="5"/>
        <v/>
      </c>
      <c r="J63" s="22" t="str">
        <f t="shared" si="0"/>
        <v/>
      </c>
      <c r="K63" s="16" t="str">
        <f t="shared" si="6"/>
        <v/>
      </c>
      <c r="L63" s="16"/>
    </row>
    <row r="64" spans="1:12" ht="14.5" x14ac:dyDescent="0.35">
      <c r="A64" s="16"/>
      <c r="B64" s="16"/>
      <c r="C64" s="16"/>
      <c r="D64" s="16"/>
      <c r="E64" s="22" t="str">
        <f ca="1">IFERROR(__xludf.dummyfunction("iferror(1000+INT(($N$2-(index(split(D64,"":""),1)*60+index(split(D64,"":""),2 )))/0.2+1)*$N$3,"""")"),"")</f>
        <v/>
      </c>
      <c r="F64" s="16" t="str">
        <f t="shared" ca="1" si="4"/>
        <v/>
      </c>
      <c r="G64" s="16"/>
      <c r="H64" s="22" t="str">
        <f ca="1">IFERROR(__xludf.dummyfunction("iferror(1000+INT(($N$4-(index(split(G64,"":""),1)*60+index(split(G64,"":""),2 )))/0.2+1)*$N$5,"""")"),"")</f>
        <v/>
      </c>
      <c r="I64" s="16" t="str">
        <f t="shared" ca="1" si="5"/>
        <v/>
      </c>
      <c r="J64" s="22" t="str">
        <f t="shared" si="0"/>
        <v/>
      </c>
      <c r="K64" s="16" t="str">
        <f t="shared" si="6"/>
        <v/>
      </c>
      <c r="L64" s="16"/>
    </row>
    <row r="65" spans="1:12" ht="14.5" x14ac:dyDescent="0.35">
      <c r="A65" s="16"/>
      <c r="B65" s="16"/>
      <c r="C65" s="16"/>
      <c r="D65" s="16"/>
      <c r="E65" s="22" t="str">
        <f ca="1">IFERROR(__xludf.dummyfunction("iferror(1000+INT(($N$2-(index(split(D65,"":""),1)*60+index(split(D65,"":""),2 )))/0.2+1)*$N$3,"""")"),"")</f>
        <v/>
      </c>
      <c r="F65" s="16" t="str">
        <f t="shared" ca="1" si="4"/>
        <v/>
      </c>
      <c r="G65" s="16"/>
      <c r="H65" s="22" t="str">
        <f ca="1">IFERROR(__xludf.dummyfunction("iferror(1000+INT(($N$4-(index(split(G65,"":""),1)*60+index(split(G65,"":""),2 )))/0.2+1)*$N$5,"""")"),"")</f>
        <v/>
      </c>
      <c r="I65" s="16" t="str">
        <f t="shared" ca="1" si="5"/>
        <v/>
      </c>
      <c r="J65" s="22" t="str">
        <f t="shared" si="0"/>
        <v/>
      </c>
      <c r="K65" s="16" t="str">
        <f t="shared" si="6"/>
        <v/>
      </c>
      <c r="L65" s="16"/>
    </row>
    <row r="66" spans="1:12" ht="14.5" x14ac:dyDescent="0.35">
      <c r="A66" s="16"/>
      <c r="B66" s="16"/>
      <c r="C66" s="16"/>
      <c r="D66" s="16"/>
      <c r="E66" s="22" t="str">
        <f ca="1">IFERROR(__xludf.dummyfunction("iferror(1000+INT(($N$2-(index(split(D66,"":""),1)*60+index(split(D66,"":""),2 )))/0.2+1)*$N$3,"""")"),"")</f>
        <v/>
      </c>
      <c r="F66" s="16" t="str">
        <f t="shared" ref="F66:F97" ca="1" si="7">IFERROR(_xlfn.RANK.EQ(E66,E:E),"")</f>
        <v/>
      </c>
      <c r="G66" s="16"/>
      <c r="H66" s="22" t="str">
        <f ca="1">IFERROR(__xludf.dummyfunction("iferror(1000+INT(($N$4-(index(split(G66,"":""),1)*60+index(split(G66,"":""),2 )))/0.2+1)*$N$5,"""")"),"")</f>
        <v/>
      </c>
      <c r="I66" s="16" t="str">
        <f t="shared" ref="I66:I97" ca="1" si="8">IFERROR(_xlfn.RANK.EQ(H66,H:H),"")</f>
        <v/>
      </c>
      <c r="J66" s="22" t="str">
        <f t="shared" si="0"/>
        <v/>
      </c>
      <c r="K66" s="16" t="str">
        <f t="shared" ref="K66:K97" si="9">IFERROR(_xlfn.RANK.EQ(J66,J:J),"")</f>
        <v/>
      </c>
      <c r="L66" s="16"/>
    </row>
    <row r="67" spans="1:12" ht="14.5" x14ac:dyDescent="0.35">
      <c r="A67" s="16"/>
      <c r="B67" s="16"/>
      <c r="C67" s="16"/>
      <c r="D67" s="16"/>
      <c r="E67" s="22" t="str">
        <f ca="1">IFERROR(__xludf.dummyfunction("iferror(1000+INT(($N$2-(index(split(D67,"":""),1)*60+index(split(D67,"":""),2 )))/0.2+1)*$N$3,"""")"),"")</f>
        <v/>
      </c>
      <c r="F67" s="16" t="str">
        <f t="shared" ca="1" si="7"/>
        <v/>
      </c>
      <c r="G67" s="16"/>
      <c r="H67" s="22" t="str">
        <f ca="1">IFERROR(__xludf.dummyfunction("iferror(1000+INT(($N$4-(index(split(G67,"":""),1)*60+index(split(G67,"":""),2 )))/0.2+1)*$N$5,"""")"),"")</f>
        <v/>
      </c>
      <c r="I67" s="16" t="str">
        <f t="shared" ca="1" si="8"/>
        <v/>
      </c>
      <c r="J67" s="22" t="str">
        <f t="shared" ref="J67:J95" si="10">IF(AND(D67="", G67=""), "", E67+H67)</f>
        <v/>
      </c>
      <c r="K67" s="16" t="str">
        <f t="shared" si="9"/>
        <v/>
      </c>
      <c r="L67" s="16"/>
    </row>
    <row r="68" spans="1:12" ht="14.5" x14ac:dyDescent="0.35">
      <c r="A68" s="16"/>
      <c r="B68" s="16"/>
      <c r="C68" s="16"/>
      <c r="D68" s="16"/>
      <c r="E68" s="22" t="str">
        <f ca="1">IFERROR(__xludf.dummyfunction("iferror(1000+INT(($N$2-(index(split(D68,"":""),1)*60+index(split(D68,"":""),2 )))/0.2+1)*$N$3,"""")"),"")</f>
        <v/>
      </c>
      <c r="F68" s="16" t="str">
        <f t="shared" ca="1" si="7"/>
        <v/>
      </c>
      <c r="G68" s="16"/>
      <c r="H68" s="22" t="str">
        <f ca="1">IFERROR(__xludf.dummyfunction("iferror(1000+INT(($N$4-(index(split(G68,"":""),1)*60+index(split(G68,"":""),2 )))/0.2+1)*$N$5,"""")"),"")</f>
        <v/>
      </c>
      <c r="I68" s="16" t="str">
        <f t="shared" ca="1" si="8"/>
        <v/>
      </c>
      <c r="J68" s="22" t="str">
        <f t="shared" si="10"/>
        <v/>
      </c>
      <c r="K68" s="16" t="str">
        <f t="shared" si="9"/>
        <v/>
      </c>
      <c r="L68" s="16"/>
    </row>
    <row r="69" spans="1:12" ht="14.5" x14ac:dyDescent="0.35">
      <c r="A69" s="16"/>
      <c r="B69" s="16"/>
      <c r="C69" s="16"/>
      <c r="D69" s="16"/>
      <c r="E69" s="22" t="str">
        <f ca="1">IFERROR(__xludf.dummyfunction("iferror(1000+INT(($N$2-(index(split(D69,"":""),1)*60+index(split(D69,"":""),2 )))/0.2+1)*$N$3,"""")"),"")</f>
        <v/>
      </c>
      <c r="F69" s="16" t="str">
        <f t="shared" ca="1" si="7"/>
        <v/>
      </c>
      <c r="G69" s="16"/>
      <c r="H69" s="22" t="str">
        <f ca="1">IFERROR(__xludf.dummyfunction("iferror(1000+INT(($N$4-(index(split(G69,"":""),1)*60+index(split(G69,"":""),2 )))/0.2+1)*$N$5,"""")"),"")</f>
        <v/>
      </c>
      <c r="I69" s="16" t="str">
        <f t="shared" ca="1" si="8"/>
        <v/>
      </c>
      <c r="J69" s="22" t="str">
        <f t="shared" si="10"/>
        <v/>
      </c>
      <c r="K69" s="16" t="str">
        <f t="shared" si="9"/>
        <v/>
      </c>
      <c r="L69" s="16"/>
    </row>
    <row r="70" spans="1:12" ht="14.5" x14ac:dyDescent="0.35">
      <c r="A70" s="16"/>
      <c r="B70" s="16"/>
      <c r="C70" s="16"/>
      <c r="D70" s="16"/>
      <c r="E70" s="22" t="str">
        <f ca="1">IFERROR(__xludf.dummyfunction("iferror(1000+INT(($N$2-(index(split(D70,"":""),1)*60+index(split(D70,"":""),2 )))/0.2+1)*$N$3,"""")"),"")</f>
        <v/>
      </c>
      <c r="F70" s="16" t="str">
        <f t="shared" ca="1" si="7"/>
        <v/>
      </c>
      <c r="G70" s="16"/>
      <c r="H70" s="22" t="str">
        <f ca="1">IFERROR(__xludf.dummyfunction("iferror(1000+INT(($N$4-(index(split(G70,"":""),1)*60+index(split(G70,"":""),2 )))/0.2+1)*$N$5,"""")"),"")</f>
        <v/>
      </c>
      <c r="I70" s="16" t="str">
        <f t="shared" ca="1" si="8"/>
        <v/>
      </c>
      <c r="J70" s="22" t="str">
        <f t="shared" si="10"/>
        <v/>
      </c>
      <c r="K70" s="16" t="str">
        <f t="shared" si="9"/>
        <v/>
      </c>
      <c r="L70" s="16"/>
    </row>
    <row r="71" spans="1:12" ht="14.5" x14ac:dyDescent="0.35">
      <c r="A71" s="16"/>
      <c r="B71" s="16"/>
      <c r="C71" s="16"/>
      <c r="D71" s="16"/>
      <c r="E71" s="22" t="str">
        <f ca="1">IFERROR(__xludf.dummyfunction("iferror(1000+INT(($N$2-(index(split(D71,"":""),1)*60+index(split(D71,"":""),2 )))/0.2+1)*$N$3,"""")"),"")</f>
        <v/>
      </c>
      <c r="F71" s="16" t="str">
        <f t="shared" ca="1" si="7"/>
        <v/>
      </c>
      <c r="G71" s="16"/>
      <c r="H71" s="22" t="str">
        <f ca="1">IFERROR(__xludf.dummyfunction("iferror(1000+INT(($N$4-(index(split(G71,"":""),1)*60+index(split(G71,"":""),2 )))/0.2+1)*$N$5,"""")"),"")</f>
        <v/>
      </c>
      <c r="I71" s="16" t="str">
        <f t="shared" ca="1" si="8"/>
        <v/>
      </c>
      <c r="J71" s="22" t="str">
        <f t="shared" si="10"/>
        <v/>
      </c>
      <c r="K71" s="16" t="str">
        <f t="shared" si="9"/>
        <v/>
      </c>
      <c r="L71" s="16"/>
    </row>
    <row r="72" spans="1:12" ht="14.5" x14ac:dyDescent="0.35">
      <c r="A72" s="16"/>
      <c r="B72" s="16"/>
      <c r="C72" s="16"/>
      <c r="D72" s="16"/>
      <c r="E72" s="22" t="str">
        <f ca="1">IFERROR(__xludf.dummyfunction("iferror(1000+INT(($N$2-(index(split(D72,"":""),1)*60+index(split(D72,"":""),2 )))/0.2+1)*$N$3,"""")"),"")</f>
        <v/>
      </c>
      <c r="F72" s="16" t="str">
        <f t="shared" ca="1" si="7"/>
        <v/>
      </c>
      <c r="G72" s="16"/>
      <c r="H72" s="22" t="str">
        <f ca="1">IFERROR(__xludf.dummyfunction("iferror(1000+INT(($N$4-(index(split(G72,"":""),1)*60+index(split(G72,"":""),2 )))/0.2+1)*$N$5,"""")"),"")</f>
        <v/>
      </c>
      <c r="I72" s="16" t="str">
        <f t="shared" ca="1" si="8"/>
        <v/>
      </c>
      <c r="J72" s="22" t="str">
        <f t="shared" si="10"/>
        <v/>
      </c>
      <c r="K72" s="16" t="str">
        <f t="shared" si="9"/>
        <v/>
      </c>
      <c r="L72" s="16"/>
    </row>
    <row r="73" spans="1:12" ht="14.5" x14ac:dyDescent="0.35">
      <c r="A73" s="16"/>
      <c r="B73" s="16"/>
      <c r="C73" s="16"/>
      <c r="D73" s="16"/>
      <c r="E73" s="22" t="str">
        <f ca="1">IFERROR(__xludf.dummyfunction("iferror(1000+INT(($N$2-(index(split(D73,"":""),1)*60+index(split(D73,"":""),2 )))/0.2+1)*$N$3,"""")"),"")</f>
        <v/>
      </c>
      <c r="F73" s="16" t="str">
        <f t="shared" ca="1" si="7"/>
        <v/>
      </c>
      <c r="G73" s="16"/>
      <c r="H73" s="22" t="str">
        <f ca="1">IFERROR(__xludf.dummyfunction("iferror(1000+INT(($N$4-(index(split(G73,"":""),1)*60+index(split(G73,"":""),2 )))/0.2+1)*$N$5,"""")"),"")</f>
        <v/>
      </c>
      <c r="I73" s="16" t="str">
        <f t="shared" ca="1" si="8"/>
        <v/>
      </c>
      <c r="J73" s="22" t="str">
        <f t="shared" si="10"/>
        <v/>
      </c>
      <c r="K73" s="16" t="str">
        <f t="shared" si="9"/>
        <v/>
      </c>
      <c r="L73" s="16"/>
    </row>
    <row r="74" spans="1:12" ht="14.5" x14ac:dyDescent="0.35">
      <c r="A74" s="16"/>
      <c r="B74" s="16"/>
      <c r="C74" s="16"/>
      <c r="D74" s="16"/>
      <c r="E74" s="22" t="str">
        <f ca="1">IFERROR(__xludf.dummyfunction("iferror(1000+INT(($N$2-(index(split(D74,"":""),1)*60+index(split(D74,"":""),2 )))/0.2+1)*$N$3,"""")"),"")</f>
        <v/>
      </c>
      <c r="F74" s="16" t="str">
        <f t="shared" ca="1" si="7"/>
        <v/>
      </c>
      <c r="G74" s="16"/>
      <c r="H74" s="22" t="str">
        <f ca="1">IFERROR(__xludf.dummyfunction("iferror(1000+INT(($N$4-(index(split(G74,"":""),1)*60+index(split(G74,"":""),2 )))/0.2+1)*$N$5,"""")"),"")</f>
        <v/>
      </c>
      <c r="I74" s="16" t="str">
        <f t="shared" ca="1" si="8"/>
        <v/>
      </c>
      <c r="J74" s="22" t="str">
        <f t="shared" si="10"/>
        <v/>
      </c>
      <c r="K74" s="16" t="str">
        <f t="shared" si="9"/>
        <v/>
      </c>
      <c r="L74" s="16"/>
    </row>
    <row r="75" spans="1:12" ht="14.5" x14ac:dyDescent="0.35">
      <c r="A75" s="16"/>
      <c r="B75" s="16"/>
      <c r="C75" s="16"/>
      <c r="D75" s="16"/>
      <c r="E75" s="22" t="str">
        <f ca="1">IFERROR(__xludf.dummyfunction("iferror(1000+INT(($N$2-(index(split(D75,"":""),1)*60+index(split(D75,"":""),2 )))/0.2+1)*$N$3,"""")"),"")</f>
        <v/>
      </c>
      <c r="F75" s="16" t="str">
        <f t="shared" ca="1" si="7"/>
        <v/>
      </c>
      <c r="G75" s="16"/>
      <c r="H75" s="22" t="str">
        <f ca="1">IFERROR(__xludf.dummyfunction("iferror(1000+INT(($N$4-(index(split(G75,"":""),1)*60+index(split(G75,"":""),2 )))/0.2+1)*$N$5,"""")"),"")</f>
        <v/>
      </c>
      <c r="I75" s="16" t="str">
        <f t="shared" ca="1" si="8"/>
        <v/>
      </c>
      <c r="J75" s="22" t="str">
        <f t="shared" si="10"/>
        <v/>
      </c>
      <c r="K75" s="16" t="str">
        <f t="shared" si="9"/>
        <v/>
      </c>
      <c r="L75" s="16"/>
    </row>
    <row r="76" spans="1:12" ht="14.5" x14ac:dyDescent="0.35">
      <c r="A76" s="16"/>
      <c r="B76" s="16"/>
      <c r="C76" s="16"/>
      <c r="D76" s="16"/>
      <c r="E76" s="22" t="str">
        <f ca="1">IFERROR(__xludf.dummyfunction("iferror(1000+INT(($N$2-(index(split(D76,"":""),1)*60+index(split(D76,"":""),2 )))/0.2+1)*$N$3,"""")"),"")</f>
        <v/>
      </c>
      <c r="F76" s="16" t="str">
        <f t="shared" ca="1" si="7"/>
        <v/>
      </c>
      <c r="G76" s="16"/>
      <c r="H76" s="22" t="str">
        <f ca="1">IFERROR(__xludf.dummyfunction("iferror(1000+INT(($N$4-(index(split(G76,"":""),1)*60+index(split(G76,"":""),2 )))/0.2+1)*$N$5,"""")"),"")</f>
        <v/>
      </c>
      <c r="I76" s="16" t="str">
        <f t="shared" ca="1" si="8"/>
        <v/>
      </c>
      <c r="J76" s="22" t="str">
        <f t="shared" si="10"/>
        <v/>
      </c>
      <c r="K76" s="16" t="str">
        <f t="shared" si="9"/>
        <v/>
      </c>
      <c r="L76" s="16"/>
    </row>
    <row r="77" spans="1:12" ht="14.5" x14ac:dyDescent="0.35">
      <c r="A77" s="16"/>
      <c r="B77" s="16"/>
      <c r="C77" s="16"/>
      <c r="D77" s="16"/>
      <c r="E77" s="22" t="str">
        <f ca="1">IFERROR(__xludf.dummyfunction("iferror(1000+INT(($N$2-(index(split(D77,"":""),1)*60+index(split(D77,"":""),2 )))/0.2+1)*$N$3,"""")"),"")</f>
        <v/>
      </c>
      <c r="F77" s="16" t="str">
        <f t="shared" ca="1" si="7"/>
        <v/>
      </c>
      <c r="G77" s="16"/>
      <c r="H77" s="22" t="str">
        <f ca="1">IFERROR(__xludf.dummyfunction("iferror(1000+INT(($N$4-(index(split(G77,"":""),1)*60+index(split(G77,"":""),2 )))/0.2+1)*$N$5,"""")"),"")</f>
        <v/>
      </c>
      <c r="I77" s="16" t="str">
        <f t="shared" ca="1" si="8"/>
        <v/>
      </c>
      <c r="J77" s="22" t="str">
        <f t="shared" si="10"/>
        <v/>
      </c>
      <c r="K77" s="16" t="str">
        <f t="shared" si="9"/>
        <v/>
      </c>
      <c r="L77" s="16"/>
    </row>
    <row r="78" spans="1:12" ht="14.5" x14ac:dyDescent="0.35">
      <c r="A78" s="16"/>
      <c r="B78" s="16"/>
      <c r="C78" s="16"/>
      <c r="D78" s="16"/>
      <c r="E78" s="22" t="str">
        <f ca="1">IFERROR(__xludf.dummyfunction("iferror(1000+INT(($N$2-(index(split(D78,"":""),1)*60+index(split(D78,"":""),2 )))/0.2+1)*$N$3,"""")"),"")</f>
        <v/>
      </c>
      <c r="F78" s="16" t="str">
        <f t="shared" ca="1" si="7"/>
        <v/>
      </c>
      <c r="G78" s="16"/>
      <c r="H78" s="22" t="str">
        <f ca="1">IFERROR(__xludf.dummyfunction("iferror(1000+INT(($N$4-(index(split(G78,"":""),1)*60+index(split(G78,"":""),2 )))/0.2+1)*$N$5,"""")"),"")</f>
        <v/>
      </c>
      <c r="I78" s="16" t="str">
        <f t="shared" ca="1" si="8"/>
        <v/>
      </c>
      <c r="J78" s="22" t="str">
        <f t="shared" si="10"/>
        <v/>
      </c>
      <c r="K78" s="16" t="str">
        <f t="shared" si="9"/>
        <v/>
      </c>
      <c r="L78" s="16"/>
    </row>
    <row r="79" spans="1:12" ht="14.5" x14ac:dyDescent="0.35">
      <c r="A79" s="16"/>
      <c r="B79" s="16"/>
      <c r="C79" s="16"/>
      <c r="D79" s="16"/>
      <c r="E79" s="22" t="str">
        <f ca="1">IFERROR(__xludf.dummyfunction("iferror(1000+INT(($N$2-(index(split(D79,"":""),1)*60+index(split(D79,"":""),2 )))/0.2+1)*$N$3,"""")"),"")</f>
        <v/>
      </c>
      <c r="F79" s="16" t="str">
        <f t="shared" ca="1" si="7"/>
        <v/>
      </c>
      <c r="G79" s="16"/>
      <c r="H79" s="22" t="str">
        <f ca="1">IFERROR(__xludf.dummyfunction("iferror(1000+INT(($N$4-(index(split(G79,"":""),1)*60+index(split(G79,"":""),2 )))/0.2+1)*$N$5,"""")"),"")</f>
        <v/>
      </c>
      <c r="I79" s="16" t="str">
        <f t="shared" ca="1" si="8"/>
        <v/>
      </c>
      <c r="J79" s="22" t="str">
        <f t="shared" si="10"/>
        <v/>
      </c>
      <c r="K79" s="16" t="str">
        <f t="shared" si="9"/>
        <v/>
      </c>
      <c r="L79" s="16"/>
    </row>
    <row r="80" spans="1:12" ht="14.5" x14ac:dyDescent="0.35">
      <c r="A80" s="16"/>
      <c r="B80" s="16"/>
      <c r="C80" s="16"/>
      <c r="D80" s="16"/>
      <c r="E80" s="22" t="str">
        <f ca="1">IFERROR(__xludf.dummyfunction("iferror(1000+INT(($N$2-(index(split(D80,"":""),1)*60+index(split(D80,"":""),2 )))/0.2+1)*$N$3,"""")"),"")</f>
        <v/>
      </c>
      <c r="F80" s="16" t="str">
        <f t="shared" ca="1" si="7"/>
        <v/>
      </c>
      <c r="G80" s="16"/>
      <c r="H80" s="22" t="str">
        <f ca="1">IFERROR(__xludf.dummyfunction("iferror(1000+INT(($N$4-(index(split(G80,"":""),1)*60+index(split(G80,"":""),2 )))/0.2+1)*$N$5,"""")"),"")</f>
        <v/>
      </c>
      <c r="I80" s="16" t="str">
        <f t="shared" ca="1" si="8"/>
        <v/>
      </c>
      <c r="J80" s="22" t="str">
        <f t="shared" si="10"/>
        <v/>
      </c>
      <c r="K80" s="16" t="str">
        <f t="shared" si="9"/>
        <v/>
      </c>
      <c r="L80" s="16"/>
    </row>
    <row r="81" spans="1:12" ht="14.5" x14ac:dyDescent="0.35">
      <c r="A81" s="16"/>
      <c r="B81" s="16"/>
      <c r="C81" s="16"/>
      <c r="D81" s="16"/>
      <c r="E81" s="22" t="str">
        <f ca="1">IFERROR(__xludf.dummyfunction("iferror(1000+INT(($N$2-(index(split(D81,"":""),1)*60+index(split(D81,"":""),2 )))/0.2+1)*$N$3,"""")"),"")</f>
        <v/>
      </c>
      <c r="F81" s="16" t="str">
        <f t="shared" ca="1" si="7"/>
        <v/>
      </c>
      <c r="G81" s="16"/>
      <c r="H81" s="22" t="str">
        <f ca="1">IFERROR(__xludf.dummyfunction("iferror(1000+INT(($N$4-(index(split(G81,"":""),1)*60+index(split(G81,"":""),2 )))/0.2+1)*$N$5,"""")"),"")</f>
        <v/>
      </c>
      <c r="I81" s="16" t="str">
        <f t="shared" ca="1" si="8"/>
        <v/>
      </c>
      <c r="J81" s="22" t="str">
        <f t="shared" si="10"/>
        <v/>
      </c>
      <c r="K81" s="16" t="str">
        <f t="shared" si="9"/>
        <v/>
      </c>
      <c r="L81" s="16"/>
    </row>
    <row r="82" spans="1:12" ht="14.5" x14ac:dyDescent="0.35">
      <c r="A82" s="16"/>
      <c r="B82" s="16"/>
      <c r="C82" s="16"/>
      <c r="D82" s="16"/>
      <c r="E82" s="22" t="str">
        <f ca="1">IFERROR(__xludf.dummyfunction("iferror(1000+INT(($N$2-(index(split(D82,"":""),1)*60+index(split(D82,"":""),2 )))/0.2+1)*$N$3,"""")"),"")</f>
        <v/>
      </c>
      <c r="F82" s="16" t="str">
        <f t="shared" ca="1" si="7"/>
        <v/>
      </c>
      <c r="G82" s="16"/>
      <c r="H82" s="22" t="str">
        <f ca="1">IFERROR(__xludf.dummyfunction("iferror(1000+INT(($N$4-(index(split(G82,"":""),1)*60+index(split(G82,"":""),2 )))/0.2+1)*$N$5,"""")"),"")</f>
        <v/>
      </c>
      <c r="I82" s="16" t="str">
        <f t="shared" ca="1" si="8"/>
        <v/>
      </c>
      <c r="J82" s="22" t="str">
        <f t="shared" si="10"/>
        <v/>
      </c>
      <c r="K82" s="16" t="str">
        <f t="shared" si="9"/>
        <v/>
      </c>
      <c r="L82" s="16"/>
    </row>
    <row r="83" spans="1:12" ht="14.5" x14ac:dyDescent="0.35">
      <c r="A83" s="16"/>
      <c r="B83" s="16"/>
      <c r="C83" s="16"/>
      <c r="D83" s="16"/>
      <c r="E83" s="22" t="str">
        <f ca="1">IFERROR(__xludf.dummyfunction("iferror(1000+INT(($N$2-(index(split(D83,"":""),1)*60+index(split(D83,"":""),2 )))/0.2+1)*$N$3,"""")"),"")</f>
        <v/>
      </c>
      <c r="F83" s="16" t="str">
        <f t="shared" ca="1" si="7"/>
        <v/>
      </c>
      <c r="G83" s="16"/>
      <c r="H83" s="22" t="str">
        <f ca="1">IFERROR(__xludf.dummyfunction("iferror(1000+INT(($N$4-(index(split(G83,"":""),1)*60+index(split(G83,"":""),2 )))/0.2+1)*$N$5,"""")"),"")</f>
        <v/>
      </c>
      <c r="I83" s="16" t="str">
        <f t="shared" ca="1" si="8"/>
        <v/>
      </c>
      <c r="J83" s="22" t="str">
        <f t="shared" si="10"/>
        <v/>
      </c>
      <c r="K83" s="16" t="str">
        <f t="shared" si="9"/>
        <v/>
      </c>
      <c r="L83" s="16"/>
    </row>
    <row r="84" spans="1:12" ht="14.5" x14ac:dyDescent="0.35">
      <c r="A84" s="16"/>
      <c r="B84" s="16"/>
      <c r="C84" s="16"/>
      <c r="D84" s="16"/>
      <c r="E84" s="22" t="str">
        <f ca="1">IFERROR(__xludf.dummyfunction("iferror(1000+INT(($N$2-(index(split(D84,"":""),1)*60+index(split(D84,"":""),2 )))/0.2+1)*$N$3,"""")"),"")</f>
        <v/>
      </c>
      <c r="F84" s="16" t="str">
        <f t="shared" ca="1" si="7"/>
        <v/>
      </c>
      <c r="G84" s="16"/>
      <c r="H84" s="22" t="str">
        <f ca="1">IFERROR(__xludf.dummyfunction("iferror(1000+INT(($N$4-(index(split(G84,"":""),1)*60+index(split(G84,"":""),2 )))/0.2+1)*$N$5,"""")"),"")</f>
        <v/>
      </c>
      <c r="I84" s="16" t="str">
        <f t="shared" ca="1" si="8"/>
        <v/>
      </c>
      <c r="J84" s="22" t="str">
        <f t="shared" si="10"/>
        <v/>
      </c>
      <c r="K84" s="16" t="str">
        <f t="shared" si="9"/>
        <v/>
      </c>
      <c r="L84" s="16"/>
    </row>
    <row r="85" spans="1:12" ht="14.5" x14ac:dyDescent="0.35">
      <c r="A85" s="16"/>
      <c r="B85" s="16"/>
      <c r="C85" s="16"/>
      <c r="D85" s="16"/>
      <c r="E85" s="22" t="str">
        <f ca="1">IFERROR(__xludf.dummyfunction("iferror(1000+INT(($N$2-(index(split(D85,"":""),1)*60+index(split(D85,"":""),2 )))/0.2+1)*$N$3,"""")"),"")</f>
        <v/>
      </c>
      <c r="F85" s="16" t="str">
        <f t="shared" ca="1" si="7"/>
        <v/>
      </c>
      <c r="G85" s="16"/>
      <c r="H85" s="22" t="str">
        <f ca="1">IFERROR(__xludf.dummyfunction("iferror(1000+INT(($N$4-(index(split(G85,"":""),1)*60+index(split(G85,"":""),2 )))/0.2+1)*$N$5,"""")"),"")</f>
        <v/>
      </c>
      <c r="I85" s="16" t="str">
        <f t="shared" ca="1" si="8"/>
        <v/>
      </c>
      <c r="J85" s="22" t="str">
        <f t="shared" si="10"/>
        <v/>
      </c>
      <c r="K85" s="16" t="str">
        <f t="shared" si="9"/>
        <v/>
      </c>
      <c r="L85" s="16"/>
    </row>
    <row r="86" spans="1:12" ht="14.5" x14ac:dyDescent="0.35">
      <c r="A86" s="16"/>
      <c r="B86" s="16"/>
      <c r="C86" s="16"/>
      <c r="D86" s="16"/>
      <c r="E86" s="22" t="str">
        <f ca="1">IFERROR(__xludf.dummyfunction("iferror(1000+INT(($N$2-(index(split(D86,"":""),1)*60+index(split(D86,"":""),2 )))/0.2+1)*$N$3,"""")"),"")</f>
        <v/>
      </c>
      <c r="F86" s="16" t="str">
        <f t="shared" ca="1" si="7"/>
        <v/>
      </c>
      <c r="G86" s="16"/>
      <c r="H86" s="22" t="str">
        <f ca="1">IFERROR(__xludf.dummyfunction("iferror(1000+INT(($N$4-(index(split(G86,"":""),1)*60+index(split(G86,"":""),2 )))/0.2+1)*$N$5,"""")"),"")</f>
        <v/>
      </c>
      <c r="I86" s="16" t="str">
        <f t="shared" ca="1" si="8"/>
        <v/>
      </c>
      <c r="J86" s="22" t="str">
        <f t="shared" si="10"/>
        <v/>
      </c>
      <c r="K86" s="16" t="str">
        <f t="shared" si="9"/>
        <v/>
      </c>
      <c r="L86" s="16"/>
    </row>
    <row r="87" spans="1:12" ht="14.5" x14ac:dyDescent="0.35">
      <c r="A87" s="16"/>
      <c r="B87" s="16"/>
      <c r="C87" s="16"/>
      <c r="D87" s="16"/>
      <c r="E87" s="22" t="str">
        <f ca="1">IFERROR(__xludf.dummyfunction("iferror(1000+INT(($N$2-(index(split(D87,"":""),1)*60+index(split(D87,"":""),2 )))/0.2+1)*$N$3,"""")"),"")</f>
        <v/>
      </c>
      <c r="F87" s="16" t="str">
        <f t="shared" ca="1" si="7"/>
        <v/>
      </c>
      <c r="G87" s="16"/>
      <c r="H87" s="22" t="str">
        <f ca="1">IFERROR(__xludf.dummyfunction("iferror(1000+INT(($N$4-(index(split(G87,"":""),1)*60+index(split(G87,"":""),2 )))/0.2+1)*$N$5,"""")"),"")</f>
        <v/>
      </c>
      <c r="I87" s="16" t="str">
        <f t="shared" ca="1" si="8"/>
        <v/>
      </c>
      <c r="J87" s="22" t="str">
        <f t="shared" si="10"/>
        <v/>
      </c>
      <c r="K87" s="16" t="str">
        <f t="shared" si="9"/>
        <v/>
      </c>
      <c r="L87" s="16"/>
    </row>
    <row r="88" spans="1:12" ht="14.5" x14ac:dyDescent="0.35">
      <c r="A88" s="16"/>
      <c r="B88" s="16"/>
      <c r="C88" s="16"/>
      <c r="D88" s="16"/>
      <c r="E88" s="22" t="str">
        <f ca="1">IFERROR(__xludf.dummyfunction("iferror(1000+INT(($N$2-(index(split(D88,"":""),1)*60+index(split(D88,"":""),2 )))/0.2+1)*$N$3,"""")"),"")</f>
        <v/>
      </c>
      <c r="F88" s="16" t="str">
        <f t="shared" ca="1" si="7"/>
        <v/>
      </c>
      <c r="G88" s="16"/>
      <c r="H88" s="22" t="str">
        <f ca="1">IFERROR(__xludf.dummyfunction("iferror(1000+INT(($N$4-(index(split(G88,"":""),1)*60+index(split(G88,"":""),2 )))/0.2+1)*$N$5,"""")"),"")</f>
        <v/>
      </c>
      <c r="I88" s="16" t="str">
        <f t="shared" ca="1" si="8"/>
        <v/>
      </c>
      <c r="J88" s="22" t="str">
        <f t="shared" si="10"/>
        <v/>
      </c>
      <c r="K88" s="16" t="str">
        <f t="shared" si="9"/>
        <v/>
      </c>
      <c r="L88" s="16"/>
    </row>
    <row r="89" spans="1:12" ht="14.5" x14ac:dyDescent="0.35">
      <c r="A89" s="16"/>
      <c r="B89" s="16"/>
      <c r="C89" s="16"/>
      <c r="D89" s="16"/>
      <c r="E89" s="22" t="str">
        <f ca="1">IFERROR(__xludf.dummyfunction("iferror(1000+INT(($N$2-(index(split(D89,"":""),1)*60+index(split(D89,"":""),2 )))/0.2+1)*$N$3,"""")"),"")</f>
        <v/>
      </c>
      <c r="F89" s="16" t="str">
        <f t="shared" ca="1" si="7"/>
        <v/>
      </c>
      <c r="G89" s="16"/>
      <c r="H89" s="22" t="str">
        <f ca="1">IFERROR(__xludf.dummyfunction("iferror(1000+INT(($N$4-(index(split(G89,"":""),1)*60+index(split(G89,"":""),2 )))/0.2+1)*$N$5,"""")"),"")</f>
        <v/>
      </c>
      <c r="I89" s="16" t="str">
        <f t="shared" ca="1" si="8"/>
        <v/>
      </c>
      <c r="J89" s="22" t="str">
        <f t="shared" si="10"/>
        <v/>
      </c>
      <c r="K89" s="16" t="str">
        <f t="shared" si="9"/>
        <v/>
      </c>
      <c r="L89" s="16"/>
    </row>
    <row r="90" spans="1:12" ht="14.5" x14ac:dyDescent="0.35">
      <c r="A90" s="16"/>
      <c r="B90" s="16"/>
      <c r="C90" s="16"/>
      <c r="D90" s="16"/>
      <c r="E90" s="22" t="str">
        <f ca="1">IFERROR(__xludf.dummyfunction("iferror(1000+INT(($N$2-(index(split(D90,"":""),1)*60+index(split(D90,"":""),2 )))/0.2+1)*$N$3,"""")"),"")</f>
        <v/>
      </c>
      <c r="F90" s="16" t="str">
        <f t="shared" ca="1" si="7"/>
        <v/>
      </c>
      <c r="G90" s="16"/>
      <c r="H90" s="22" t="str">
        <f ca="1">IFERROR(__xludf.dummyfunction("iferror(1000+INT(($N$4-(index(split(G90,"":""),1)*60+index(split(G90,"":""),2 )))/0.2+1)*$N$5,"""")"),"")</f>
        <v/>
      </c>
      <c r="I90" s="16" t="str">
        <f t="shared" ca="1" si="8"/>
        <v/>
      </c>
      <c r="J90" s="22" t="str">
        <f t="shared" si="10"/>
        <v/>
      </c>
      <c r="K90" s="16" t="str">
        <f t="shared" si="9"/>
        <v/>
      </c>
      <c r="L90" s="16"/>
    </row>
    <row r="91" spans="1:12" ht="14.5" x14ac:dyDescent="0.35">
      <c r="A91" s="16"/>
      <c r="B91" s="16"/>
      <c r="C91" s="16"/>
      <c r="D91" s="16"/>
      <c r="E91" s="22" t="str">
        <f ca="1">IFERROR(__xludf.dummyfunction("iferror(1000+INT(($N$2-(index(split(D91,"":""),1)*60+index(split(D91,"":""),2 )))/0.2+1)*$N$3,"""")"),"")</f>
        <v/>
      </c>
      <c r="F91" s="16" t="str">
        <f t="shared" ca="1" si="7"/>
        <v/>
      </c>
      <c r="G91" s="16"/>
      <c r="H91" s="22" t="str">
        <f ca="1">IFERROR(__xludf.dummyfunction("iferror(1000+INT(($N$4-(index(split(G91,"":""),1)*60+index(split(G91,"":""),2 )))/0.2+1)*$N$5,"""")"),"")</f>
        <v/>
      </c>
      <c r="I91" s="16" t="str">
        <f t="shared" ca="1" si="8"/>
        <v/>
      </c>
      <c r="J91" s="22" t="str">
        <f t="shared" si="10"/>
        <v/>
      </c>
      <c r="K91" s="16" t="str">
        <f t="shared" si="9"/>
        <v/>
      </c>
      <c r="L91" s="16"/>
    </row>
    <row r="92" spans="1:12" ht="14.5" x14ac:dyDescent="0.35">
      <c r="A92" s="16"/>
      <c r="B92" s="16"/>
      <c r="C92" s="16"/>
      <c r="D92" s="16"/>
      <c r="E92" s="22" t="str">
        <f ca="1">IFERROR(__xludf.dummyfunction("iferror(1000+INT(($N$2-(index(split(D92,"":""),1)*60+index(split(D92,"":""),2 )))/0.2+1)*$N$3,"""")"),"")</f>
        <v/>
      </c>
      <c r="F92" s="16" t="str">
        <f t="shared" ca="1" si="7"/>
        <v/>
      </c>
      <c r="G92" s="16"/>
      <c r="H92" s="22" t="str">
        <f ca="1">IFERROR(__xludf.dummyfunction("iferror(1000+INT(($N$4-(index(split(G92,"":""),1)*60+index(split(G92,"":""),2 )))/0.2+1)*$N$5,"""")"),"")</f>
        <v/>
      </c>
      <c r="I92" s="16" t="str">
        <f t="shared" ca="1" si="8"/>
        <v/>
      </c>
      <c r="J92" s="22" t="str">
        <f t="shared" si="10"/>
        <v/>
      </c>
      <c r="K92" s="16" t="str">
        <f t="shared" si="9"/>
        <v/>
      </c>
      <c r="L92" s="16"/>
    </row>
    <row r="93" spans="1:12" ht="14.5" x14ac:dyDescent="0.35">
      <c r="A93" s="16"/>
      <c r="B93" s="16"/>
      <c r="C93" s="16"/>
      <c r="D93" s="16"/>
      <c r="E93" s="22" t="str">
        <f ca="1">IFERROR(__xludf.dummyfunction("iferror(1000+INT(($N$2-(index(split(D93,"":""),1)*60+index(split(D93,"":""),2 )))/0.2+1)*$N$3,"""")"),"")</f>
        <v/>
      </c>
      <c r="F93" s="16" t="str">
        <f t="shared" ca="1" si="7"/>
        <v/>
      </c>
      <c r="G93" s="16"/>
      <c r="H93" s="22" t="str">
        <f ca="1">IFERROR(__xludf.dummyfunction("iferror(1000+INT(($N$4-(index(split(G93,"":""),1)*60+index(split(G93,"":""),2 )))/0.2+1)*$N$5,"""")"),"")</f>
        <v/>
      </c>
      <c r="I93" s="16" t="str">
        <f t="shared" ca="1" si="8"/>
        <v/>
      </c>
      <c r="J93" s="22" t="str">
        <f t="shared" si="10"/>
        <v/>
      </c>
      <c r="K93" s="16" t="str">
        <f t="shared" si="9"/>
        <v/>
      </c>
      <c r="L93" s="16"/>
    </row>
    <row r="94" spans="1:12" ht="14.5" x14ac:dyDescent="0.35">
      <c r="A94" s="16"/>
      <c r="B94" s="16"/>
      <c r="C94" s="16"/>
      <c r="D94" s="16"/>
      <c r="E94" s="22" t="str">
        <f ca="1">IFERROR(__xludf.dummyfunction("iferror(1000+INT(($N$2-(index(split(D94,"":""),1)*60+index(split(D94,"":""),2 )))/0.2+1)*$N$3,"""")"),"")</f>
        <v/>
      </c>
      <c r="F94" s="16" t="str">
        <f t="shared" ca="1" si="7"/>
        <v/>
      </c>
      <c r="G94" s="16"/>
      <c r="H94" s="22" t="str">
        <f ca="1">IFERROR(__xludf.dummyfunction("iferror(1000+INT(($N$4-(index(split(G94,"":""),1)*60+index(split(G94,"":""),2 )))/0.2+1)*$N$5,"""")"),"")</f>
        <v/>
      </c>
      <c r="I94" s="16" t="str">
        <f t="shared" ca="1" si="8"/>
        <v/>
      </c>
      <c r="J94" s="22" t="str">
        <f t="shared" si="10"/>
        <v/>
      </c>
      <c r="K94" s="16" t="str">
        <f t="shared" si="9"/>
        <v/>
      </c>
      <c r="L94" s="16"/>
    </row>
    <row r="95" spans="1:12" ht="14.5" x14ac:dyDescent="0.35">
      <c r="A95" s="16"/>
      <c r="B95" s="16"/>
      <c r="C95" s="16"/>
      <c r="D95" s="16"/>
      <c r="E95" s="22" t="str">
        <f ca="1">IFERROR(__xludf.dummyfunction("iferror(1000+INT(($N$2-(index(split(D95,"":""),1)*60+index(split(D95,"":""),2 )))/0.2+1)*$N$3,"""")"),"")</f>
        <v/>
      </c>
      <c r="F95" s="16" t="str">
        <f t="shared" ca="1" si="7"/>
        <v/>
      </c>
      <c r="G95" s="16"/>
      <c r="H95" s="22" t="str">
        <f ca="1">IFERROR(__xludf.dummyfunction("iferror(1000+INT(($N$4-(index(split(G95,"":""),1)*60+index(split(G95,"":""),2 )))/0.2+1)*$N$5,"""")"),"")</f>
        <v/>
      </c>
      <c r="I95" s="16" t="str">
        <f t="shared" ca="1" si="8"/>
        <v/>
      </c>
      <c r="J95" s="22" t="str">
        <f t="shared" si="10"/>
        <v/>
      </c>
      <c r="K95" s="16" t="str">
        <f t="shared" si="9"/>
        <v/>
      </c>
      <c r="L95" s="16"/>
    </row>
    <row r="96" spans="1:12" ht="14.5" x14ac:dyDescent="0.35">
      <c r="A96" s="16"/>
      <c r="B96" s="16"/>
      <c r="C96" s="16"/>
      <c r="D96" s="16"/>
      <c r="E96" s="22" t="str">
        <f ca="1">IFERROR(__xludf.dummyfunction("iferror(1000+INT(($N$2-(index(split(D96,"":""),1)*60+index(split(D96,"":""),2 )))/0.2+1)*$N$3,"""")"),"")</f>
        <v/>
      </c>
      <c r="F96" s="16" t="str">
        <f t="shared" ca="1" si="7"/>
        <v/>
      </c>
      <c r="G96" s="16"/>
      <c r="H96" s="22" t="str">
        <f ca="1">IFERROR(__xludf.dummyfunction("iferror(1000+INT(($N$4-(index(split(G96,"":""),1)*60+index(split(G96,"":""),2 )))/0.2+1)*$N$5,"""")"),"")</f>
        <v/>
      </c>
      <c r="I96" s="16" t="str">
        <f t="shared" ca="1" si="8"/>
        <v/>
      </c>
      <c r="J96" s="16" t="str">
        <f t="shared" ref="J66:J100" si="11">IF(AND(D96="", G96=""), "", E96+H96)</f>
        <v/>
      </c>
      <c r="K96" s="16" t="str">
        <f t="shared" si="9"/>
        <v/>
      </c>
      <c r="L96" s="16"/>
    </row>
    <row r="97" spans="1:12" ht="14.5" x14ac:dyDescent="0.35">
      <c r="A97" s="16"/>
      <c r="B97" s="16"/>
      <c r="C97" s="16"/>
      <c r="D97" s="16"/>
      <c r="E97" s="22" t="str">
        <f ca="1">IFERROR(__xludf.dummyfunction("iferror(1000+INT(($N$2-(index(split(D97,"":""),1)*60+index(split(D97,"":""),2 )))/0.2+1)*$N$3,"""")"),"")</f>
        <v/>
      </c>
      <c r="F97" s="16" t="str">
        <f t="shared" ca="1" si="7"/>
        <v/>
      </c>
      <c r="G97" s="16"/>
      <c r="H97" s="22" t="str">
        <f ca="1">IFERROR(__xludf.dummyfunction("iferror(1000+INT(($N$4-(index(split(G97,"":""),1)*60+index(split(G97,"":""),2 )))/0.2+1)*$N$5,"""")"),"")</f>
        <v/>
      </c>
      <c r="I97" s="16" t="str">
        <f t="shared" ca="1" si="8"/>
        <v/>
      </c>
      <c r="J97" s="16" t="str">
        <f t="shared" si="11"/>
        <v/>
      </c>
      <c r="K97" s="16" t="str">
        <f t="shared" si="9"/>
        <v/>
      </c>
      <c r="L97" s="16"/>
    </row>
    <row r="98" spans="1:12" ht="14.5" x14ac:dyDescent="0.35">
      <c r="A98" s="16"/>
      <c r="B98" s="16"/>
      <c r="C98" s="16"/>
      <c r="D98" s="16"/>
      <c r="E98" s="22" t="str">
        <f ca="1">IFERROR(__xludf.dummyfunction("iferror(1000+INT(($N$2-(index(split(D98,"":""),1)*60+index(split(D98,"":""),2 )))/0.2+1)*$N$3,"""")"),"")</f>
        <v/>
      </c>
      <c r="F98" s="16" t="str">
        <f t="shared" ref="F98:F129" ca="1" si="12">IFERROR(_xlfn.RANK.EQ(E98,E:E),"")</f>
        <v/>
      </c>
      <c r="G98" s="16"/>
      <c r="H98" s="22" t="str">
        <f ca="1">IFERROR(__xludf.dummyfunction("iferror(1000+INT(($N$4-(index(split(G98,"":""),1)*60+index(split(G98,"":""),2 )))/0.2+1)*$N$5,"""")"),"")</f>
        <v/>
      </c>
      <c r="I98" s="16" t="str">
        <f t="shared" ref="I98:I129" ca="1" si="13">IFERROR(_xlfn.RANK.EQ(H98,H:H),"")</f>
        <v/>
      </c>
      <c r="J98" s="16" t="str">
        <f t="shared" si="11"/>
        <v/>
      </c>
      <c r="K98" s="16" t="str">
        <f t="shared" ref="K98:K129" si="14">IFERROR(_xlfn.RANK.EQ(J98,J:J),"")</f>
        <v/>
      </c>
      <c r="L98" s="16"/>
    </row>
    <row r="99" spans="1:12" ht="14.5" x14ac:dyDescent="0.35">
      <c r="A99" s="16"/>
      <c r="B99" s="16"/>
      <c r="C99" s="16"/>
      <c r="D99" s="16"/>
      <c r="E99" s="22" t="str">
        <f ca="1">IFERROR(__xludf.dummyfunction("iferror(1000+INT(($N$2-(index(split(D99,"":""),1)*60+index(split(D99,"":""),2 )))/0.2+1)*$N$3,"""")"),"")</f>
        <v/>
      </c>
      <c r="F99" s="16" t="str">
        <f t="shared" ca="1" si="12"/>
        <v/>
      </c>
      <c r="G99" s="16"/>
      <c r="H99" s="22" t="str">
        <f ca="1">IFERROR(__xludf.dummyfunction("iferror(1000+INT(($N$4-(index(split(G99,"":""),1)*60+index(split(G99,"":""),2 )))/0.2+1)*$N$5,"""")"),"")</f>
        <v/>
      </c>
      <c r="I99" s="16" t="str">
        <f t="shared" ca="1" si="13"/>
        <v/>
      </c>
      <c r="J99" s="16" t="str">
        <f t="shared" si="11"/>
        <v/>
      </c>
      <c r="K99" s="16" t="str">
        <f t="shared" si="14"/>
        <v/>
      </c>
      <c r="L99" s="16"/>
    </row>
    <row r="100" spans="1:12" ht="14.5" x14ac:dyDescent="0.35">
      <c r="A100" s="16"/>
      <c r="B100" s="16"/>
      <c r="C100" s="16"/>
      <c r="D100" s="16"/>
      <c r="E100" s="22" t="str">
        <f ca="1">IFERROR(__xludf.dummyfunction("iferror(1000+INT(($N$2-(index(split(D100,"":""),1)*60+index(split(D100,"":""),2 )))/0.2+1)*$N$3,"""")"),"")</f>
        <v/>
      </c>
      <c r="F100" s="16" t="str">
        <f t="shared" ca="1" si="12"/>
        <v/>
      </c>
      <c r="G100" s="16"/>
      <c r="H100" s="22" t="str">
        <f ca="1">IFERROR(__xludf.dummyfunction("iferror(1000+INT(($N$4-(index(split(G100,"":""),1)*60+index(split(G100,"":""),2 )))/0.2+1)*$N$5,"""")"),"")</f>
        <v/>
      </c>
      <c r="I100" s="16" t="str">
        <f t="shared" ca="1" si="13"/>
        <v/>
      </c>
      <c r="J100" s="16" t="str">
        <f t="shared" si="11"/>
        <v/>
      </c>
      <c r="K100" s="16" t="str">
        <f t="shared" si="14"/>
        <v/>
      </c>
      <c r="L100" s="16"/>
    </row>
    <row r="101" spans="1:12" ht="14.5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4.5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4.5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4.5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4.5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4.5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4.5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4.5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4.5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4.5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4.5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4.5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4.5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4.5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4.5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4.5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4.5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4.5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4.5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4.5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4.5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4.5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4.5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4.5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4.5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4.5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4.5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4.5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4.5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4.5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4.5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4.5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4.5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4.5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4.5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4.5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4.5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4.5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4.5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4.5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4.5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4.5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4.5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4.5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4.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4.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4.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4.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4.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4.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4.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4.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4.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4.5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4.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4.5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4.5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4.5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4.5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4.5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4.5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4.5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ht="14.5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4.5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ht="14.5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ht="14.5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4.5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4.5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5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4.5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4.5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4.5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4.5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4.5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4.5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4.5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4.5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4.5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4.5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4.5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4.5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4.5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4.5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4.5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4.5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4.5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4.5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4.5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4.5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4.5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4.5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4.5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4.5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4.5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4.5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4.5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4.5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4.5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4.5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4.5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4.5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4.5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4.5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4.5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4.5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4.5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4.5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4.5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4.5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4.5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4.5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4.5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4.5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4.5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4.5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4.5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4.5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4.5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4.5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4.5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4.5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4.5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4.5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4.5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4.5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4.5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4.5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4.5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4.5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4.5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4.5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4.5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4.5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5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4.5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4.5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4.5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4.5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4.5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4.5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4.5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4.5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4.5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4.5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4.5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4.5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4.5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4.5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4.5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4.5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4.5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4.5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4.5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4.5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4.5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4.5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4.5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4.5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4.5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4.5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4.5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4.5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4.5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4.5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4.5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4.5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4.5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4.5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4.5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4.5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4.5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4.5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4.5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4.5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4.5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4.5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4.5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4.5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4.5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4.5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4.5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4.5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4.5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4.5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4.5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4.5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4.5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4.5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4.5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4.5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4.5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4.5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4.5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4.5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4.5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4.5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4.5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4.5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4.5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4.5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4.5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4.5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4.5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4.5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4.5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4.5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4.5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4.5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4.5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4.5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4.5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4.5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4.5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4.5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4.5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4.5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4.5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4.5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4.5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4.5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4.5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4.5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4.5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4.5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4.5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4.5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4.5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4.5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4.5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4.5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4.5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4.5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4.5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4.5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4.5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4.5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4.5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4.5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4.5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4.5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4.5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4.5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4.5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4.5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4.5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4.5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4.5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4.5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4.5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4.5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4.5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4.5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4.5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4.5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4.5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4.5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4.5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4.5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4.5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4.5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4.5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4.5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4.5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4.5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4.5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4.5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4.5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4.5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4.5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4.5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4.5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4.5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4.5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4.5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4.5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4.5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4.5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4.5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4.5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ht="14.5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ht="14.5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ht="14.5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ht="14.5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ht="14.5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ht="14.5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ht="14.5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ht="14.5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ht="14.5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ht="14.5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ht="14.5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ht="14.5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ht="14.5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ht="14.5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ht="14.5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ht="14.5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ht="14.5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ht="14.5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ht="14.5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ht="14.5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ht="14.5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ht="14.5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ht="14.5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ht="14.5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ht="14.5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ht="14.5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ht="14.5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ht="14.5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ht="14.5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ht="14.5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ht="14.5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ht="14.5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ht="14.5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ht="14.5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ht="14.5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ht="14.5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ht="14.5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ht="14.5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ht="14.5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ht="14.5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ht="14.5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ht="14.5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ht="14.5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ht="14.5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ht="14.5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ht="14.5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ht="14.5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ht="14.5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ht="14.5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ht="14.5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ht="14.5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ht="14.5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ht="14.5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ht="14.5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ht="14.5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ht="14.5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ht="14.5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ht="14.5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 ht="14.5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 ht="14.5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 ht="14.5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 ht="14.5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 ht="14.5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 ht="14.5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 ht="14.5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 ht="14.5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 ht="14.5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 ht="14.5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 ht="14.5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 ht="14.5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 ht="14.5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 ht="14.5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 ht="14.5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 ht="14.5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 ht="14.5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 ht="14.5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 ht="14.5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 ht="14.5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 ht="14.5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 ht="14.5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 ht="14.5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 ht="14.5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 ht="14.5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 ht="14.5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 ht="14.5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 ht="14.5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 ht="14.5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 ht="14.5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 ht="14.5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 ht="14.5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 ht="14.5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 ht="14.5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 ht="14.5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 ht="14.5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 ht="14.5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 ht="14.5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 ht="14.5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 ht="14.5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 ht="14.5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 ht="14.5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 ht="14.5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 ht="14.5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 ht="14.5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 ht="14.5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 ht="14.5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 ht="14.5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 ht="14.5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 ht="14.5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 ht="14.5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 ht="14.5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 ht="14.5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 ht="14.5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 ht="14.5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 ht="14.5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 ht="14.5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 ht="14.5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 ht="14.5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 ht="14.5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 ht="14.5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 ht="14.5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 ht="14.5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 ht="14.5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 ht="14.5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 ht="14.5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 ht="14.5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 ht="14.5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 ht="14.5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 ht="14.5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 ht="14.5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 ht="14.5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 ht="14.5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 ht="14.5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 ht="14.5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 ht="14.5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 ht="14.5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 ht="14.5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 ht="14.5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 ht="14.5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 ht="14.5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 ht="14.5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 ht="14.5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ht="14.5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ht="14.5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ht="14.5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ht="14.5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ht="14.5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ht="14.5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ht="14.5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ht="14.5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 ht="14.5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 ht="14.5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 ht="14.5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 ht="14.5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 ht="14.5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 ht="14.5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 ht="14.5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 ht="14.5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 ht="14.5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 ht="14.5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 ht="14.5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 ht="14.5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 ht="14.5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 ht="14.5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 ht="14.5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 ht="14.5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 ht="14.5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 ht="14.5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 ht="14.5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 ht="14.5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 ht="14.5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 ht="14.5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 ht="14.5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 ht="14.5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 ht="14.5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 ht="14.5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 ht="14.5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 ht="14.5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 ht="14.5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 ht="14.5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 ht="14.5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 ht="14.5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 ht="14.5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 ht="14.5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 ht="14.5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 ht="14.5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 ht="14.5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 ht="14.5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 ht="14.5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 ht="14.5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 ht="14.5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 ht="14.5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 ht="14.5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 ht="14.5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 ht="14.5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 ht="14.5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 ht="14.5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 ht="14.5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 ht="14.5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 ht="14.5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 ht="14.5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 ht="14.5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 ht="14.5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 ht="14.5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 ht="14.5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 ht="14.5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 ht="14.5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 ht="14.5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 ht="14.5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 ht="14.5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 ht="14.5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 ht="14.5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 ht="14.5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 ht="14.5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 ht="14.5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 ht="14.5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 ht="14.5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 ht="14.5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 ht="14.5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 ht="14.5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 ht="14.5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 ht="14.5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 ht="14.5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 ht="14.5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 ht="14.5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 ht="14.5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 ht="14.5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 ht="14.5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 ht="14.5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 ht="14.5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 ht="14.5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 ht="14.5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 ht="14.5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 ht="14.5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 ht="14.5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 ht="14.5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 ht="14.5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 ht="14.5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 ht="14.5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 ht="14.5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 ht="14.5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 ht="14.5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 ht="14.5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 ht="14.5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 ht="14.5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 ht="14.5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 ht="14.5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 ht="14.5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 ht="14.5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 ht="14.5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 ht="14.5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 ht="14.5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 ht="14.5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 ht="14.5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 ht="14.5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 ht="14.5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 ht="14.5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 ht="14.5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 ht="14.5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 ht="14.5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 ht="14.5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 ht="14.5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 ht="14.5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 ht="14.5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 ht="14.5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 ht="14.5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 ht="14.5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 ht="14.5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 ht="14.5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 ht="14.5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 ht="14.5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 ht="14.5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 ht="14.5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 ht="14.5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 ht="14.5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 ht="14.5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 ht="14.5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 ht="14.5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 ht="14.5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 ht="14.5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 ht="14.5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 ht="14.5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 ht="14.5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 ht="14.5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 ht="14.5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 ht="14.5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 ht="14.5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 ht="14.5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 ht="14.5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 ht="14.5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 ht="14.5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 ht="14.5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 ht="14.5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 ht="14.5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 ht="14.5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 ht="14.5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 ht="14.5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 ht="14.5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 ht="14.5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 ht="14.5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 ht="14.5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 ht="14.5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 ht="14.5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 ht="14.5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 ht="14.5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 ht="14.5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 ht="14.5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 ht="14.5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 ht="14.5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 ht="14.5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 ht="14.5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 ht="14.5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 ht="14.5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 ht="14.5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 ht="14.5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 ht="14.5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 ht="14.5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 ht="14.5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 ht="14.5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 ht="14.5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 ht="14.5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 ht="14.5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 ht="14.5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 ht="14.5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 ht="14.5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 ht="14.5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 ht="14.5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 ht="14.5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 ht="14.5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 ht="14.5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 ht="14.5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 ht="14.5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 ht="14.5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 ht="14.5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 ht="14.5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 ht="14.5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 ht="14.5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 ht="14.5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 ht="14.5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 ht="14.5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 ht="14.5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 ht="14.5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 ht="14.5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 ht="14.5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 ht="14.5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 ht="14.5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 ht="14.5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 ht="14.5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 ht="14.5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 ht="14.5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 ht="14.5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 ht="14.5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 ht="14.5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 ht="14.5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 ht="14.5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 ht="14.5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 ht="14.5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 ht="14.5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 ht="14.5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 ht="14.5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 ht="14.5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 ht="14.5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 ht="14.5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 ht="14.5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 ht="14.5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 ht="14.5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 ht="14.5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 ht="14.5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 ht="14.5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 ht="14.5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 ht="14.5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 ht="14.5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 ht="14.5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 ht="14.5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 ht="14.5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 ht="14.5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 ht="14.5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 ht="14.5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 ht="14.5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 ht="14.5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 ht="14.5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 ht="14.5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 ht="14.5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 ht="14.5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 ht="14.5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 ht="14.5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 ht="14.5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 ht="14.5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 ht="14.5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 ht="14.5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 ht="14.5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 ht="14.5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 ht="14.5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 ht="14.5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 ht="14.5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 ht="14.5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 ht="14.5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 ht="14.5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 ht="14.5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 ht="14.5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 ht="14.5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 ht="14.5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 ht="14.5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 ht="14.5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 ht="14.5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 ht="14.5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 ht="14.5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 ht="14.5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 ht="14.5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 ht="14.5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 ht="14.5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 ht="14.5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 ht="14.5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 ht="14.5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 ht="14.5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 ht="14.5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 ht="14.5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 ht="14.5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 ht="14.5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 ht="14.5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 ht="14.5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 ht="14.5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 ht="14.5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 ht="14.5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 ht="14.5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 ht="14.5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 ht="14.5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 ht="14.5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 ht="14.5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 ht="14.5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 ht="14.5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 ht="14.5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 ht="14.5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 ht="14.5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 ht="14.5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 ht="14.5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 ht="14.5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 ht="14.5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 ht="14.5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 ht="14.5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 ht="14.5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 ht="14.5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 ht="14.5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 ht="14.5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 ht="14.5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 ht="14.5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 ht="14.5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 ht="14.5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 ht="14.5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 ht="14.5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 ht="14.5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 ht="14.5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 ht="14.5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 ht="14.5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 ht="14.5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 ht="14.5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 ht="14.5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 ht="14.5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 ht="14.5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 ht="14.5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 ht="14.5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 ht="14.5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 ht="14.5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 ht="14.5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 ht="14.5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 ht="14.5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 ht="14.5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 ht="14.5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 ht="14.5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 ht="14.5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 ht="14.5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 ht="14.5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 ht="14.5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 ht="14.5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 ht="14.5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 ht="14.5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 ht="14.5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 ht="14.5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 ht="14.5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 ht="14.5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 ht="14.5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 ht="14.5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 ht="14.5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 ht="14.5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 ht="14.5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 ht="14.5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 ht="14.5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 ht="14.5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 ht="14.5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 ht="14.5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 ht="14.5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 ht="14.5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 ht="14.5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 ht="14.5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 ht="14.5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 ht="14.5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 ht="14.5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 ht="14.5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 ht="14.5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 ht="14.5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 ht="14.5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 ht="14.5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 ht="14.5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 ht="14.5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 ht="14.5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 ht="14.5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 ht="14.5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 ht="14.5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 ht="14.5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 ht="14.5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 ht="14.5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 ht="14.5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 ht="14.5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 ht="14.5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 ht="14.5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 ht="14.5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 ht="14.5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 ht="14.5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 ht="14.5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 ht="14.5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 ht="14.5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 ht="14.5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 ht="14.5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 ht="14.5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 ht="14.5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 ht="14.5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 ht="14.5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 ht="14.5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 ht="14.5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 ht="14.5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 ht="14.5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 ht="14.5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 ht="14.5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 ht="14.5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 ht="14.5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 ht="14.5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 ht="14.5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 ht="14.5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 ht="14.5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 ht="14.5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 ht="14.5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 ht="14.5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 ht="14.5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 ht="14.5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 ht="14.5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 ht="14.5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 ht="14.5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</sheetData>
  <sortState xmlns:xlrd2="http://schemas.microsoft.com/office/spreadsheetml/2017/richdata2" ref="A2:L5">
    <sortCondition ref="K2:K5"/>
  </sortState>
  <printOptions horizontalCentered="1" gridLines="1"/>
  <pageMargins left="0.7" right="0.7" top="1.1437499999999998" bottom="1.1437499999999998" header="0.75" footer="0.75"/>
  <pageSetup paperSize="0" fitToWidth="0" fitToHeight="0" pageOrder="overThenDown" orientation="landscape" horizontalDpi="0" verticalDpi="0" copies="0"/>
  <headerFooter alignWithMargins="0"/>
  <ignoredErrors>
    <ignoredError sqref="J2:J9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'Scoring tables'!$A$2:$A$57</xm:f>
          </x14:formula1>
          <xm:sqref>L1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workbookViewId="0">
      <selection activeCell="G13" sqref="G13"/>
    </sheetView>
  </sheetViews>
  <sheetFormatPr defaultRowHeight="15.75" customHeight="1" x14ac:dyDescent="0.35"/>
  <cols>
    <col min="1" max="1" width="10.4140625" style="25" customWidth="1"/>
    <col min="2" max="2" width="23.58203125" style="25" customWidth="1"/>
    <col min="3" max="3" width="22.4140625" style="25" customWidth="1"/>
    <col min="4" max="11" width="8.4140625" style="25" customWidth="1"/>
    <col min="12" max="1024" width="11.6640625" style="25" customWidth="1"/>
    <col min="1025" max="16384" width="8.6640625" style="25"/>
  </cols>
  <sheetData>
    <row r="1" spans="1:14" ht="30.75" customHeight="1" x14ac:dyDescent="0.35">
      <c r="A1" s="20" t="s">
        <v>0</v>
      </c>
      <c r="B1" s="20" t="s">
        <v>26</v>
      </c>
      <c r="C1" s="20" t="s">
        <v>27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21</v>
      </c>
    </row>
    <row r="2" spans="1:14" ht="14.5" x14ac:dyDescent="0.35">
      <c r="A2" s="16">
        <f ca="1">IFERROR(__xludf.dummyfunction("""COMPUTED_VALUE"""),176)</f>
        <v>176</v>
      </c>
      <c r="B2" s="5" t="str">
        <f ca="1">IFERROR(__xludf.dummyfunction("""COMPUTED_VALUE"""),"Samuel Turney")</f>
        <v>Samuel Turney</v>
      </c>
      <c r="C2" s="5" t="str">
        <f ca="1">IFERROR(__xludf.dummyfunction("""COMPUTED_VALUE"""),"Trinity School")</f>
        <v>Trinity School</v>
      </c>
      <c r="D2" s="16" t="s">
        <v>161</v>
      </c>
      <c r="E2" s="22">
        <f ca="1">IFERROR(__xludf.dummyfunction("iferror(1000+INT(($N$2-(index(split(D5,"":""),1)*60+index(split(D5,"":""),2 )))/0.2+1)*$N$3,"""")"),948)</f>
        <v>948</v>
      </c>
      <c r="F2" s="16">
        <f ca="1">IFERROR(_xlfn.RANK.EQ(E2,E:E),"")</f>
        <v>2</v>
      </c>
      <c r="G2" s="16" t="s">
        <v>162</v>
      </c>
      <c r="H2" s="22">
        <f ca="1">IFERROR(__xludf.dummyfunction("iferror(1000+INT(($N$4-(index(split(G5,"":""),1)*60+index(split(G5,"":""),2 )))/0.2+1)*$N$5,"""")"),1098)</f>
        <v>1098</v>
      </c>
      <c r="I2" s="16">
        <f ca="1">IFERROR(_xlfn.RANK.EQ(H2,H:H),"")</f>
        <v>1</v>
      </c>
      <c r="J2" s="22">
        <f ca="1">IF(AND(D2="", G2=""), "", E2+H2)</f>
        <v>2046</v>
      </c>
      <c r="K2" s="16">
        <f ca="1">IFERROR(_xlfn.RANK.EQ(J2,J:J),"")</f>
        <v>1</v>
      </c>
      <c r="L2" s="16"/>
      <c r="M2" s="21" t="s">
        <v>38</v>
      </c>
      <c r="N2" s="26">
        <f>VLOOKUP($L$1,'Scoring tables'!$A$2:$K$57,10,0)</f>
        <v>150</v>
      </c>
    </row>
    <row r="3" spans="1:14" ht="14.5" x14ac:dyDescent="0.35">
      <c r="A3" s="16">
        <f ca="1">IFERROR(__xludf.dummyfunction("""COMPUTED_VALUE"""),175)</f>
        <v>175</v>
      </c>
      <c r="B3" s="5" t="str">
        <f ca="1">IFERROR(__xludf.dummyfunction("""COMPUTED_VALUE"""),"Finlay Wood")</f>
        <v>Finlay Wood</v>
      </c>
      <c r="C3" s="5" t="str">
        <f ca="1">IFERROR(__xludf.dummyfunction("""COMPUTED_VALUE"""),"Queen Elizabeth School")</f>
        <v>Queen Elizabeth School</v>
      </c>
      <c r="D3" s="16" t="s">
        <v>159</v>
      </c>
      <c r="E3" s="22">
        <f ca="1">IFERROR(__xludf.dummyfunction("iferror(1000+INT(($N$2-(index(split(D4,"":""),1)*60+index(split(D4,"":""),2 )))/0.2+1)*$N$3,"""")"),1068)</f>
        <v>1068</v>
      </c>
      <c r="F3" s="16">
        <f ca="1">IFERROR(_xlfn.RANK.EQ(E3,E:E),"")</f>
        <v>1</v>
      </c>
      <c r="G3" s="16" t="s">
        <v>160</v>
      </c>
      <c r="H3" s="22">
        <f ca="1">IFERROR(__xludf.dummyfunction("iferror(1000+INT(($N$4-(index(split(G4,"":""),1)*60+index(split(G4,"":""),2 )))/0.2+1)*$N$5,"""")"),942)</f>
        <v>942</v>
      </c>
      <c r="I3" s="16">
        <f ca="1">IFERROR(_xlfn.RANK.EQ(H3,H:H),"")</f>
        <v>2</v>
      </c>
      <c r="J3" s="22">
        <f t="shared" ref="J3:J27" ca="1" si="0">IF(AND(D3="", G3=""), "", E3+H3)</f>
        <v>2010</v>
      </c>
      <c r="K3" s="16">
        <f ca="1">IFERROR(_xlfn.RANK.EQ(J3,J:J),"")</f>
        <v>2</v>
      </c>
      <c r="L3" s="16"/>
      <c r="M3" s="21" t="s">
        <v>39</v>
      </c>
      <c r="N3" s="26">
        <f>VLOOKUP($L$1,'Scoring tables'!$A$2:$K$57,11,0)</f>
        <v>2</v>
      </c>
    </row>
    <row r="4" spans="1:14" ht="14.5" x14ac:dyDescent="0.35">
      <c r="A4" s="28">
        <f ca="1">IFERROR(__xludf.dummyfunction("Query(Entries!$A$2:$U$1205,""select A,C,D where B = '""&amp;L1&amp;""'"")"),173)</f>
        <v>173</v>
      </c>
      <c r="B4" s="29" t="str">
        <f ca="1">IFERROR(__xludf.dummyfunction("""COMPUTED_VALUE"""),"Archie Lorimer")</f>
        <v>Archie Lorimer</v>
      </c>
      <c r="C4" s="29" t="str">
        <f ca="1">IFERROR(__xludf.dummyfunction("""COMPUTED_VALUE"""),"Clitheroe Royal Grammar School")</f>
        <v>Clitheroe Royal Grammar School</v>
      </c>
      <c r="D4" s="28"/>
      <c r="E4" s="30" t="str">
        <f ca="1">IFERROR(__xludf.dummyfunction("iferror(1000+INT(($N$2-(index(split(D2,"":""),1)*60+index(split(D2,"":""),2 )))/0.2+1)*$N$3,"""")"),"")</f>
        <v/>
      </c>
      <c r="F4" s="28" t="str">
        <f ca="1">IFERROR(_xlfn.RANK.EQ(E4,E:E),"")</f>
        <v/>
      </c>
      <c r="G4" s="30"/>
      <c r="H4" s="30" t="str">
        <f ca="1">IFERROR(__xludf.dummyfunction("iferror(1000+INT(($N$4-(index(split(G2,"":""),1)*60+index(split(G2,"":""),2 )))/0.2+1)*$N$5,"""")"),"")</f>
        <v/>
      </c>
      <c r="I4" s="28" t="str">
        <f ca="1">IFERROR(_xlfn.RANK.EQ(H4,H:H),"")</f>
        <v/>
      </c>
      <c r="J4" s="30" t="str">
        <f t="shared" si="0"/>
        <v/>
      </c>
      <c r="K4" s="28" t="s">
        <v>444</v>
      </c>
      <c r="L4" s="16"/>
      <c r="M4" s="21" t="s">
        <v>31</v>
      </c>
      <c r="N4" s="26">
        <f>VLOOKUP($L$1,'Scoring tables'!$A$2:$K$57,5,0)</f>
        <v>335</v>
      </c>
    </row>
    <row r="5" spans="1:14" ht="14.5" x14ac:dyDescent="0.35">
      <c r="A5" s="28">
        <f ca="1">IFERROR(__xludf.dummyfunction("""COMPUTED_VALUE"""),174)</f>
        <v>174</v>
      </c>
      <c r="B5" s="29" t="str">
        <f ca="1">IFERROR(__xludf.dummyfunction("""COMPUTED_VALUE"""),"THOMAS JEPSON")</f>
        <v>THOMAS JEPSON</v>
      </c>
      <c r="C5" s="29" t="str">
        <f ca="1">IFERROR(__xludf.dummyfunction("""COMPUTED_VALUE"""),"Tarleton Academy")</f>
        <v>Tarleton Academy</v>
      </c>
      <c r="D5" s="28"/>
      <c r="E5" s="30" t="str">
        <f ca="1">IFERROR(__xludf.dummyfunction("iferror(1000+INT(($N$2-(index(split(D3,"":""),1)*60+index(split(D3,"":""),2 )))/0.2+1)*$N$3,"""")"),"")</f>
        <v/>
      </c>
      <c r="F5" s="28" t="str">
        <f ca="1">IFERROR(_xlfn.RANK.EQ(E5,E:E),"")</f>
        <v/>
      </c>
      <c r="G5" s="28"/>
      <c r="H5" s="30" t="str">
        <f ca="1">IFERROR(__xludf.dummyfunction("iferror(1000+INT(($N$4-(index(split(G3,"":""),1)*60+index(split(G3,"":""),2 )))/0.2+1)*$N$5,"""")"),"")</f>
        <v/>
      </c>
      <c r="I5" s="28" t="str">
        <f ca="1">IFERROR(_xlfn.RANK.EQ(H5,H:H),"")</f>
        <v/>
      </c>
      <c r="J5" s="30" t="str">
        <f t="shared" si="0"/>
        <v/>
      </c>
      <c r="K5" s="28" t="s">
        <v>444</v>
      </c>
      <c r="L5" s="16"/>
      <c r="M5" s="21" t="s">
        <v>32</v>
      </c>
      <c r="N5" s="26">
        <f>VLOOKUP($L$1,'Scoring tables'!$A$2:$K$57,6,0)</f>
        <v>1</v>
      </c>
    </row>
    <row r="6" spans="1:14" ht="14.5" x14ac:dyDescent="0.35">
      <c r="A6" s="16"/>
      <c r="B6" s="16"/>
      <c r="C6" s="16"/>
      <c r="D6" s="16"/>
      <c r="E6" s="22" t="str">
        <f ca="1">IFERROR(__xludf.dummyfunction("iferror(1000+INT(($N$2-(index(split(D6,"":""),1)*60+index(split(D6,"":""),2 )))/0.2+1)*$N$3,"""")"),"")</f>
        <v/>
      </c>
      <c r="F6" s="16" t="str">
        <f t="shared" ref="F2:F33" ca="1" si="1">IFERROR(_xlfn.RANK.EQ(E6,E:E),"")</f>
        <v/>
      </c>
      <c r="G6" s="16"/>
      <c r="H6" s="22" t="str">
        <f ca="1">IFERROR(__xludf.dummyfunction("iferror(1000+INT(($N$4-(index(split(G6,"":""),1)*60+index(split(G6,"":""),2 )))/0.2+1)*$N$5,"""")"),"")</f>
        <v/>
      </c>
      <c r="I6" s="16" t="str">
        <f t="shared" ref="I2:I33" ca="1" si="2">IFERROR(_xlfn.RANK.EQ(H6,H:H),"")</f>
        <v/>
      </c>
      <c r="J6" s="22" t="str">
        <f t="shared" si="0"/>
        <v/>
      </c>
      <c r="K6" s="16" t="str">
        <f t="shared" ref="K2:K33" si="3">IFERROR(_xlfn.RANK.EQ(J6,J:J),"")</f>
        <v/>
      </c>
      <c r="L6" s="16"/>
    </row>
    <row r="7" spans="1:14" ht="14.5" x14ac:dyDescent="0.35">
      <c r="A7" s="16"/>
      <c r="B7" s="16"/>
      <c r="C7" s="16"/>
      <c r="D7" s="16"/>
      <c r="E7" s="22" t="str">
        <f ca="1">IFERROR(__xludf.dummyfunction("iferror(1000+INT(($N$2-(index(split(D7,"":""),1)*60+index(split(D7,"":""),2 )))/0.2+1)*$N$3,"""")"),"")</f>
        <v/>
      </c>
      <c r="F7" s="16" t="str">
        <f t="shared" ca="1" si="1"/>
        <v/>
      </c>
      <c r="G7" s="16"/>
      <c r="H7" s="22" t="str">
        <f ca="1">IFERROR(__xludf.dummyfunction("iferror(1000+INT(($N$4-(index(split(G7,"":""),1)*60+index(split(G7,"":""),2 )))/0.2+1)*$N$5,"""")"),"")</f>
        <v/>
      </c>
      <c r="I7" s="16" t="str">
        <f t="shared" ca="1" si="2"/>
        <v/>
      </c>
      <c r="J7" s="22" t="str">
        <f t="shared" si="0"/>
        <v/>
      </c>
      <c r="K7" s="16" t="str">
        <f t="shared" si="3"/>
        <v/>
      </c>
      <c r="L7" s="16"/>
    </row>
    <row r="8" spans="1:14" ht="14.5" x14ac:dyDescent="0.35">
      <c r="A8" s="16"/>
      <c r="B8" s="16"/>
      <c r="C8" s="16"/>
      <c r="D8" s="23"/>
      <c r="E8" s="22" t="str">
        <f ca="1">IFERROR(__xludf.dummyfunction("iferror(1000+INT(($N$2-(index(split(D8,"":""),1)*60+index(split(D8,"":""),2 )))/0.2+1)*$N$3,"""")"),"")</f>
        <v/>
      </c>
      <c r="F8" s="16" t="str">
        <f t="shared" ca="1" si="1"/>
        <v/>
      </c>
      <c r="G8" s="16"/>
      <c r="H8" s="22" t="str">
        <f ca="1">IFERROR(__xludf.dummyfunction("iferror(1000+INT(($N$4-(index(split(G8,"":""),1)*60+index(split(G8,"":""),2 )))/0.2+1)*$N$5,"""")"),"")</f>
        <v/>
      </c>
      <c r="I8" s="16" t="str">
        <f t="shared" ca="1" si="2"/>
        <v/>
      </c>
      <c r="J8" s="22" t="str">
        <f t="shared" si="0"/>
        <v/>
      </c>
      <c r="K8" s="16" t="str">
        <f t="shared" si="3"/>
        <v/>
      </c>
      <c r="L8" s="16"/>
    </row>
    <row r="9" spans="1:14" ht="14.5" x14ac:dyDescent="0.35">
      <c r="A9" s="16"/>
      <c r="B9" s="16"/>
      <c r="C9" s="16"/>
      <c r="D9" s="16"/>
      <c r="E9" s="22" t="str">
        <f ca="1">IFERROR(__xludf.dummyfunction("iferror(1000+INT(($N$2-(index(split(D9,"":""),1)*60+index(split(D9,"":""),2 )))/0.2+1)*$N$3,"""")"),"")</f>
        <v/>
      </c>
      <c r="F9" s="16" t="str">
        <f t="shared" ca="1" si="1"/>
        <v/>
      </c>
      <c r="G9" s="16"/>
      <c r="H9" s="22" t="str">
        <f ca="1">IFERROR(__xludf.dummyfunction("iferror(1000+INT(($N$4-(index(split(G9,"":""),1)*60+index(split(G9,"":""),2 )))/0.2+1)*$N$5,"""")"),"")</f>
        <v/>
      </c>
      <c r="I9" s="16" t="str">
        <f t="shared" ca="1" si="2"/>
        <v/>
      </c>
      <c r="J9" s="22" t="str">
        <f t="shared" si="0"/>
        <v/>
      </c>
      <c r="K9" s="16" t="str">
        <f t="shared" si="3"/>
        <v/>
      </c>
      <c r="L9" s="16"/>
    </row>
    <row r="10" spans="1:14" ht="14.5" x14ac:dyDescent="0.35">
      <c r="A10" s="16"/>
      <c r="B10" s="16"/>
      <c r="C10" s="16"/>
      <c r="D10" s="16"/>
      <c r="E10" s="22" t="str">
        <f ca="1">IFERROR(__xludf.dummyfunction("iferror(1000+INT(($N$2-(index(split(D10,"":""),1)*60+index(split(D10,"":""),2 )))/0.2+1)*$N$3,"""")"),"")</f>
        <v/>
      </c>
      <c r="F10" s="16" t="str">
        <f t="shared" ca="1" si="1"/>
        <v/>
      </c>
      <c r="G10" s="16"/>
      <c r="H10" s="22" t="str">
        <f ca="1">IFERROR(__xludf.dummyfunction("iferror(1000+INT(($N$4-(index(split(G10,"":""),1)*60+index(split(G10,"":""),2 )))/0.2+1)*$N$5,"""")"),"")</f>
        <v/>
      </c>
      <c r="I10" s="16" t="str">
        <f t="shared" ca="1" si="2"/>
        <v/>
      </c>
      <c r="J10" s="22" t="str">
        <f t="shared" si="0"/>
        <v/>
      </c>
      <c r="K10" s="16" t="str">
        <f t="shared" si="3"/>
        <v/>
      </c>
      <c r="L10" s="16"/>
    </row>
    <row r="11" spans="1:14" ht="14.5" x14ac:dyDescent="0.35">
      <c r="A11" s="16"/>
      <c r="B11" s="16"/>
      <c r="C11" s="16"/>
      <c r="D11" s="16"/>
      <c r="E11" s="22" t="str">
        <f ca="1">IFERROR(__xludf.dummyfunction("iferror(1000+INT(($N$2-(index(split(D11,"":""),1)*60+index(split(D11,"":""),2 )))/0.2+1)*$N$3,"""")"),"")</f>
        <v/>
      </c>
      <c r="F11" s="16" t="str">
        <f t="shared" ca="1" si="1"/>
        <v/>
      </c>
      <c r="G11" s="16"/>
      <c r="H11" s="22" t="str">
        <f ca="1">IFERROR(__xludf.dummyfunction("iferror(1000+INT(($N$4-(index(split(G11,"":""),1)*60+index(split(G11,"":""),2 )))/0.2+1)*$N$5,"""")"),"")</f>
        <v/>
      </c>
      <c r="I11" s="16" t="str">
        <f t="shared" ca="1" si="2"/>
        <v/>
      </c>
      <c r="J11" s="22" t="str">
        <f t="shared" si="0"/>
        <v/>
      </c>
      <c r="K11" s="16" t="str">
        <f t="shared" si="3"/>
        <v/>
      </c>
      <c r="L11" s="16"/>
    </row>
    <row r="12" spans="1:14" ht="14.5" x14ac:dyDescent="0.35">
      <c r="A12" s="16"/>
      <c r="B12" s="16"/>
      <c r="C12" s="16"/>
      <c r="D12" s="16"/>
      <c r="E12" s="22" t="str">
        <f ca="1">IFERROR(__xludf.dummyfunction("iferror(1000+INT(($N$2-(index(split(D12,"":""),1)*60+index(split(D12,"":""),2 )))/0.2+1)*$N$3,"""")"),"")</f>
        <v/>
      </c>
      <c r="F12" s="16" t="str">
        <f t="shared" ca="1" si="1"/>
        <v/>
      </c>
      <c r="G12" s="16"/>
      <c r="H12" s="22" t="str">
        <f ca="1">IFERROR(__xludf.dummyfunction("iferror(1000+INT(($N$4-(index(split(G12,"":""),1)*60+index(split(G12,"":""),2 )))/0.2+1)*$N$5,"""")"),"")</f>
        <v/>
      </c>
      <c r="I12" s="16" t="str">
        <f t="shared" ca="1" si="2"/>
        <v/>
      </c>
      <c r="J12" s="22" t="str">
        <f t="shared" si="0"/>
        <v/>
      </c>
      <c r="K12" s="16" t="str">
        <f t="shared" si="3"/>
        <v/>
      </c>
      <c r="L12" s="16"/>
    </row>
    <row r="13" spans="1:14" ht="14.5" x14ac:dyDescent="0.35">
      <c r="A13" s="16"/>
      <c r="B13" s="16"/>
      <c r="C13" s="16"/>
      <c r="D13" s="16"/>
      <c r="E13" s="22" t="str">
        <f ca="1">IFERROR(__xludf.dummyfunction("iferror(1000+INT(($N$2-(index(split(D13,"":""),1)*60+index(split(D13,"":""),2 )))/0.2+1)*$N$3,"""")"),"")</f>
        <v/>
      </c>
      <c r="F13" s="16" t="str">
        <f t="shared" ca="1" si="1"/>
        <v/>
      </c>
      <c r="G13" s="16"/>
      <c r="H13" s="22" t="str">
        <f ca="1">IFERROR(__xludf.dummyfunction("iferror(1000+INT(($N$4-(index(split(G13,"":""),1)*60+index(split(G13,"":""),2 )))/0.2+1)*$N$5,"""")"),"")</f>
        <v/>
      </c>
      <c r="I13" s="16" t="str">
        <f t="shared" ca="1" si="2"/>
        <v/>
      </c>
      <c r="J13" s="22" t="str">
        <f t="shared" si="0"/>
        <v/>
      </c>
      <c r="K13" s="16" t="str">
        <f t="shared" si="3"/>
        <v/>
      </c>
      <c r="L13" s="16"/>
    </row>
    <row r="14" spans="1:14" ht="14.5" x14ac:dyDescent="0.35">
      <c r="A14" s="16"/>
      <c r="B14" s="16"/>
      <c r="C14" s="16"/>
      <c r="D14" s="16"/>
      <c r="E14" s="22" t="str">
        <f ca="1">IFERROR(__xludf.dummyfunction("iferror(1000+INT(($N$2-(index(split(D14,"":""),1)*60+index(split(D14,"":""),2 )))/0.2+1)*$N$3,"""")"),"")</f>
        <v/>
      </c>
      <c r="F14" s="16" t="str">
        <f t="shared" ca="1" si="1"/>
        <v/>
      </c>
      <c r="G14" s="16"/>
      <c r="H14" s="22" t="str">
        <f ca="1">IFERROR(__xludf.dummyfunction("iferror(1000+INT(($N$4-(index(split(G14,"":""),1)*60+index(split(G14,"":""),2 )))/0.2+1)*$N$5,"""")"),"")</f>
        <v/>
      </c>
      <c r="I14" s="16" t="str">
        <f t="shared" ca="1" si="2"/>
        <v/>
      </c>
      <c r="J14" s="22" t="str">
        <f t="shared" si="0"/>
        <v/>
      </c>
      <c r="K14" s="16" t="str">
        <f t="shared" si="3"/>
        <v/>
      </c>
      <c r="L14" s="16"/>
    </row>
    <row r="15" spans="1:14" ht="14.5" x14ac:dyDescent="0.35">
      <c r="A15" s="16"/>
      <c r="B15" s="16"/>
      <c r="C15" s="16"/>
      <c r="D15" s="16"/>
      <c r="E15" s="22" t="str">
        <f ca="1">IFERROR(__xludf.dummyfunction("iferror(1000+INT(($N$2-(index(split(D15,"":""),1)*60+index(split(D15,"":""),2 )))/0.2+1)*$N$3,"""")"),"")</f>
        <v/>
      </c>
      <c r="F15" s="16" t="str">
        <f t="shared" ca="1" si="1"/>
        <v/>
      </c>
      <c r="G15" s="16"/>
      <c r="H15" s="22" t="str">
        <f ca="1">IFERROR(__xludf.dummyfunction("iferror(1000+INT(($N$4-(index(split(G15,"":""),1)*60+index(split(G15,"":""),2 )))/0.2+1)*$N$5,"""")"),"")</f>
        <v/>
      </c>
      <c r="I15" s="16" t="str">
        <f t="shared" ca="1" si="2"/>
        <v/>
      </c>
      <c r="J15" s="22" t="str">
        <f t="shared" si="0"/>
        <v/>
      </c>
      <c r="K15" s="16" t="str">
        <f t="shared" si="3"/>
        <v/>
      </c>
      <c r="L15" s="16"/>
    </row>
    <row r="16" spans="1:14" ht="14.5" x14ac:dyDescent="0.35">
      <c r="A16" s="16"/>
      <c r="B16" s="16"/>
      <c r="C16" s="16"/>
      <c r="D16" s="16"/>
      <c r="E16" s="22" t="str">
        <f ca="1">IFERROR(__xludf.dummyfunction("iferror(1000+INT(($N$2-(index(split(D16,"":""),1)*60+index(split(D16,"":""),2 )))/0.2+1)*$N$3,"""")"),"")</f>
        <v/>
      </c>
      <c r="F16" s="16" t="str">
        <f t="shared" ca="1" si="1"/>
        <v/>
      </c>
      <c r="G16" s="16"/>
      <c r="H16" s="22" t="str">
        <f ca="1">IFERROR(__xludf.dummyfunction("iferror(1000+INT(($N$4-(index(split(G16,"":""),1)*60+index(split(G16,"":""),2 )))/0.2+1)*$N$5,"""")"),"")</f>
        <v/>
      </c>
      <c r="I16" s="16" t="str">
        <f t="shared" ca="1" si="2"/>
        <v/>
      </c>
      <c r="J16" s="22" t="str">
        <f t="shared" si="0"/>
        <v/>
      </c>
      <c r="K16" s="16" t="str">
        <f t="shared" si="3"/>
        <v/>
      </c>
      <c r="L16" s="16"/>
    </row>
    <row r="17" spans="1:12" ht="14.5" x14ac:dyDescent="0.35">
      <c r="A17" s="16"/>
      <c r="B17" s="16"/>
      <c r="C17" s="16"/>
      <c r="D17" s="16"/>
      <c r="E17" s="22" t="str">
        <f ca="1">IFERROR(__xludf.dummyfunction("iferror(1000+INT(($N$2-(index(split(D17,"":""),1)*60+index(split(D17,"":""),2 )))/0.2+1)*$N$3,"""")"),"")</f>
        <v/>
      </c>
      <c r="F17" s="16" t="str">
        <f t="shared" ca="1" si="1"/>
        <v/>
      </c>
      <c r="G17" s="16"/>
      <c r="H17" s="22" t="str">
        <f ca="1">IFERROR(__xludf.dummyfunction("iferror(1000+INT(($N$4-(index(split(G17,"":""),1)*60+index(split(G17,"":""),2 )))/0.2+1)*$N$5,"""")"),"")</f>
        <v/>
      </c>
      <c r="I17" s="16" t="str">
        <f t="shared" ca="1" si="2"/>
        <v/>
      </c>
      <c r="J17" s="22" t="str">
        <f t="shared" si="0"/>
        <v/>
      </c>
      <c r="K17" s="16" t="str">
        <f t="shared" si="3"/>
        <v/>
      </c>
      <c r="L17" s="16"/>
    </row>
    <row r="18" spans="1:12" ht="14.5" x14ac:dyDescent="0.35">
      <c r="A18" s="16"/>
      <c r="B18" s="16"/>
      <c r="C18" s="16"/>
      <c r="D18" s="16"/>
      <c r="E18" s="22" t="str">
        <f ca="1">IFERROR(__xludf.dummyfunction("iferror(1000+INT(($N$2-(index(split(D18,"":""),1)*60+index(split(D18,"":""),2 )))/0.2+1)*$N$3,"""")"),"")</f>
        <v/>
      </c>
      <c r="F18" s="16" t="str">
        <f t="shared" ca="1" si="1"/>
        <v/>
      </c>
      <c r="G18" s="16"/>
      <c r="H18" s="22" t="str">
        <f ca="1">IFERROR(__xludf.dummyfunction("iferror(1000+INT(($N$4-(index(split(G18,"":""),1)*60+index(split(G18,"":""),2 )))/0.2+1)*$N$5,"""")"),"")</f>
        <v/>
      </c>
      <c r="I18" s="16" t="str">
        <f t="shared" ca="1" si="2"/>
        <v/>
      </c>
      <c r="J18" s="22" t="str">
        <f t="shared" si="0"/>
        <v/>
      </c>
      <c r="K18" s="16" t="str">
        <f t="shared" si="3"/>
        <v/>
      </c>
      <c r="L18" s="16"/>
    </row>
    <row r="19" spans="1:12" ht="14.5" x14ac:dyDescent="0.35">
      <c r="A19" s="16"/>
      <c r="B19" s="16"/>
      <c r="C19" s="16"/>
      <c r="D19" s="16"/>
      <c r="E19" s="22" t="str">
        <f ca="1">IFERROR(__xludf.dummyfunction("iferror(1000+INT(($N$2-(index(split(D19,"":""),1)*60+index(split(D19,"":""),2 )))/0.2+1)*$N$3,"""")"),"")</f>
        <v/>
      </c>
      <c r="F19" s="16" t="str">
        <f t="shared" ca="1" si="1"/>
        <v/>
      </c>
      <c r="G19" s="16"/>
      <c r="H19" s="22" t="str">
        <f ca="1">IFERROR(__xludf.dummyfunction("iferror(1000+INT(($N$4-(index(split(G19,"":""),1)*60+index(split(G19,"":""),2 )))/0.2+1)*$N$5,"""")"),"")</f>
        <v/>
      </c>
      <c r="I19" s="16" t="str">
        <f t="shared" ca="1" si="2"/>
        <v/>
      </c>
      <c r="J19" s="22" t="str">
        <f t="shared" si="0"/>
        <v/>
      </c>
      <c r="K19" s="16" t="str">
        <f t="shared" si="3"/>
        <v/>
      </c>
      <c r="L19" s="16"/>
    </row>
    <row r="20" spans="1:12" ht="14.5" x14ac:dyDescent="0.35">
      <c r="A20" s="16"/>
      <c r="B20" s="16"/>
      <c r="C20" s="16"/>
      <c r="D20" s="16"/>
      <c r="E20" s="22" t="str">
        <f ca="1">IFERROR(__xludf.dummyfunction("iferror(1000+INT(($N$2-(index(split(D20,"":""),1)*60+index(split(D20,"":""),2 )))/0.2+1)*$N$3,"""")"),"")</f>
        <v/>
      </c>
      <c r="F20" s="16" t="str">
        <f t="shared" ca="1" si="1"/>
        <v/>
      </c>
      <c r="G20" s="16"/>
      <c r="H20" s="22" t="str">
        <f ca="1">IFERROR(__xludf.dummyfunction("iferror(1000+INT(($N$4-(index(split(G20,"":""),1)*60+index(split(G20,"":""),2 )))/0.2+1)*$N$5,"""")"),"")</f>
        <v/>
      </c>
      <c r="I20" s="16" t="str">
        <f t="shared" ca="1" si="2"/>
        <v/>
      </c>
      <c r="J20" s="22" t="str">
        <f t="shared" si="0"/>
        <v/>
      </c>
      <c r="K20" s="16" t="str">
        <f t="shared" si="3"/>
        <v/>
      </c>
      <c r="L20" s="16"/>
    </row>
    <row r="21" spans="1:12" ht="14.5" x14ac:dyDescent="0.35">
      <c r="A21" s="16"/>
      <c r="B21" s="16"/>
      <c r="C21" s="16"/>
      <c r="D21" s="16"/>
      <c r="E21" s="22" t="str">
        <f ca="1">IFERROR(__xludf.dummyfunction("iferror(1000+INT(($N$2-(index(split(D21,"":""),1)*60+index(split(D21,"":""),2 )))/0.2+1)*$N$3,"""")"),"")</f>
        <v/>
      </c>
      <c r="F21" s="16" t="str">
        <f t="shared" ca="1" si="1"/>
        <v/>
      </c>
      <c r="G21" s="16"/>
      <c r="H21" s="22" t="str">
        <f ca="1">IFERROR(__xludf.dummyfunction("iferror(1000+INT(($N$4-(index(split(G21,"":""),1)*60+index(split(G21,"":""),2 )))/0.2+1)*$N$5,"""")"),"")</f>
        <v/>
      </c>
      <c r="I21" s="16" t="str">
        <f t="shared" ca="1" si="2"/>
        <v/>
      </c>
      <c r="J21" s="22" t="str">
        <f t="shared" si="0"/>
        <v/>
      </c>
      <c r="K21" s="16" t="str">
        <f t="shared" si="3"/>
        <v/>
      </c>
      <c r="L21" s="16"/>
    </row>
    <row r="22" spans="1:12" ht="14.5" x14ac:dyDescent="0.35">
      <c r="A22" s="16"/>
      <c r="B22" s="16"/>
      <c r="C22" s="16"/>
      <c r="D22" s="16"/>
      <c r="E22" s="22" t="str">
        <f ca="1">IFERROR(__xludf.dummyfunction("iferror(1000+INT(($N$2-(index(split(D22,"":""),1)*60+index(split(D22,"":""),2 )))/0.2+1)*$N$3,"""")"),"")</f>
        <v/>
      </c>
      <c r="F22" s="16" t="str">
        <f t="shared" ca="1" si="1"/>
        <v/>
      </c>
      <c r="G22" s="16"/>
      <c r="H22" s="22" t="str">
        <f ca="1">IFERROR(__xludf.dummyfunction("iferror(1000+INT(($N$4-(index(split(G22,"":""),1)*60+index(split(G22,"":""),2 )))/0.2+1)*$N$5,"""")"),"")</f>
        <v/>
      </c>
      <c r="I22" s="16" t="str">
        <f t="shared" ca="1" si="2"/>
        <v/>
      </c>
      <c r="J22" s="22" t="str">
        <f t="shared" si="0"/>
        <v/>
      </c>
      <c r="K22" s="16" t="str">
        <f t="shared" si="3"/>
        <v/>
      </c>
      <c r="L22" s="16"/>
    </row>
    <row r="23" spans="1:12" ht="14.5" x14ac:dyDescent="0.35">
      <c r="A23" s="16"/>
      <c r="B23" s="16"/>
      <c r="C23" s="16"/>
      <c r="D23" s="16"/>
      <c r="E23" s="22" t="str">
        <f ca="1">IFERROR(__xludf.dummyfunction("iferror(1000+INT(($N$2-(index(split(D23,"":""),1)*60+index(split(D23,"":""),2 )))/0.2+1)*$N$3,"""")"),"")</f>
        <v/>
      </c>
      <c r="F23" s="16" t="str">
        <f t="shared" ca="1" si="1"/>
        <v/>
      </c>
      <c r="G23" s="16"/>
      <c r="H23" s="22" t="str">
        <f ca="1">IFERROR(__xludf.dummyfunction("iferror(1000+INT(($N$4-(index(split(G23,"":""),1)*60+index(split(G23,"":""),2 )))/0.2+1)*$N$5,"""")"),"")</f>
        <v/>
      </c>
      <c r="I23" s="16" t="str">
        <f t="shared" ca="1" si="2"/>
        <v/>
      </c>
      <c r="J23" s="22" t="str">
        <f t="shared" si="0"/>
        <v/>
      </c>
      <c r="K23" s="16" t="str">
        <f t="shared" si="3"/>
        <v/>
      </c>
      <c r="L23" s="16"/>
    </row>
    <row r="24" spans="1:12" ht="14.5" x14ac:dyDescent="0.35">
      <c r="A24" s="16"/>
      <c r="B24" s="16"/>
      <c r="C24" s="16"/>
      <c r="D24" s="16"/>
      <c r="E24" s="22" t="str">
        <f ca="1">IFERROR(__xludf.dummyfunction("iferror(1000+INT(($N$2-(index(split(D24,"":""),1)*60+index(split(D24,"":""),2 )))/0.2+1)*$N$3,"""")"),"")</f>
        <v/>
      </c>
      <c r="F24" s="16" t="str">
        <f t="shared" ca="1" si="1"/>
        <v/>
      </c>
      <c r="G24" s="16"/>
      <c r="H24" s="22" t="str">
        <f ca="1">IFERROR(__xludf.dummyfunction("iferror(1000+INT(($N$4-(index(split(G24,"":""),1)*60+index(split(G24,"":""),2 )))/0.2+1)*$N$5,"""")"),"")</f>
        <v/>
      </c>
      <c r="I24" s="16" t="str">
        <f t="shared" ca="1" si="2"/>
        <v/>
      </c>
      <c r="J24" s="22" t="str">
        <f t="shared" si="0"/>
        <v/>
      </c>
      <c r="K24" s="16" t="str">
        <f t="shared" si="3"/>
        <v/>
      </c>
      <c r="L24" s="16"/>
    </row>
    <row r="25" spans="1:12" ht="14.5" x14ac:dyDescent="0.35">
      <c r="A25" s="16"/>
      <c r="B25" s="16"/>
      <c r="C25" s="16"/>
      <c r="D25" s="16"/>
      <c r="E25" s="22" t="str">
        <f ca="1">IFERROR(__xludf.dummyfunction("iferror(1000+INT(($N$2-(index(split(D25,"":""),1)*60+index(split(D25,"":""),2 )))/0.2+1)*$N$3,"""")"),"")</f>
        <v/>
      </c>
      <c r="F25" s="16" t="str">
        <f t="shared" ca="1" si="1"/>
        <v/>
      </c>
      <c r="G25" s="16"/>
      <c r="H25" s="22" t="str">
        <f ca="1">IFERROR(__xludf.dummyfunction("iferror(1000+INT(($N$4-(index(split(G25,"":""),1)*60+index(split(G25,"":""),2 )))/0.2+1)*$N$5,"""")"),"")</f>
        <v/>
      </c>
      <c r="I25" s="16" t="str">
        <f t="shared" ca="1" si="2"/>
        <v/>
      </c>
      <c r="J25" s="22" t="str">
        <f t="shared" si="0"/>
        <v/>
      </c>
      <c r="K25" s="16" t="str">
        <f t="shared" si="3"/>
        <v/>
      </c>
      <c r="L25" s="16"/>
    </row>
    <row r="26" spans="1:12" ht="14.5" x14ac:dyDescent="0.35">
      <c r="A26" s="16"/>
      <c r="B26" s="16"/>
      <c r="C26" s="16"/>
      <c r="D26" s="16"/>
      <c r="E26" s="22" t="str">
        <f ca="1">IFERROR(__xludf.dummyfunction("iferror(1000+INT(($N$2-(index(split(D26,"":""),1)*60+index(split(D26,"":""),2 )))/0.2+1)*$N$3,"""")"),"")</f>
        <v/>
      </c>
      <c r="F26" s="16" t="str">
        <f t="shared" ca="1" si="1"/>
        <v/>
      </c>
      <c r="G26" s="16"/>
      <c r="H26" s="22" t="str">
        <f ca="1">IFERROR(__xludf.dummyfunction("iferror(1000+INT(($N$4-(index(split(G26,"":""),1)*60+index(split(G26,"":""),2 )))/0.2+1)*$N$5,"""")"),"")</f>
        <v/>
      </c>
      <c r="I26" s="16" t="str">
        <f t="shared" ca="1" si="2"/>
        <v/>
      </c>
      <c r="J26" s="22" t="str">
        <f t="shared" si="0"/>
        <v/>
      </c>
      <c r="K26" s="16" t="str">
        <f t="shared" si="3"/>
        <v/>
      </c>
      <c r="L26" s="16"/>
    </row>
    <row r="27" spans="1:12" ht="14.5" x14ac:dyDescent="0.35">
      <c r="A27" s="16"/>
      <c r="B27" s="16"/>
      <c r="C27" s="16"/>
      <c r="D27" s="16"/>
      <c r="E27" s="22" t="str">
        <f ca="1">IFERROR(__xludf.dummyfunction("iferror(1000+INT(($N$2-(index(split(D27,"":""),1)*60+index(split(D27,"":""),2 )))/0.2+1)*$N$3,"""")"),"")</f>
        <v/>
      </c>
      <c r="F27" s="16" t="str">
        <f t="shared" ca="1" si="1"/>
        <v/>
      </c>
      <c r="G27" s="16"/>
      <c r="H27" s="22" t="str">
        <f ca="1">IFERROR(__xludf.dummyfunction("iferror(1000+INT(($N$4-(index(split(G27,"":""),1)*60+index(split(G27,"":""),2 )))/0.2+1)*$N$5,"""")"),"")</f>
        <v/>
      </c>
      <c r="I27" s="16" t="str">
        <f t="shared" ca="1" si="2"/>
        <v/>
      </c>
      <c r="J27" s="22" t="str">
        <f t="shared" si="0"/>
        <v/>
      </c>
      <c r="K27" s="16" t="str">
        <f t="shared" si="3"/>
        <v/>
      </c>
      <c r="L27" s="16"/>
    </row>
    <row r="28" spans="1:12" ht="14.5" x14ac:dyDescent="0.35">
      <c r="A28" s="16"/>
      <c r="B28" s="16"/>
      <c r="C28" s="16"/>
      <c r="D28" s="16"/>
      <c r="E28" s="22" t="str">
        <f ca="1">IFERROR(__xludf.dummyfunction("iferror(1000+INT(($N$2-(index(split(D28,"":""),1)*60+index(split(D28,"":""),2 )))/0.2+1)*$N$3,"""")"),"")</f>
        <v/>
      </c>
      <c r="F28" s="16" t="str">
        <f t="shared" ca="1" si="1"/>
        <v/>
      </c>
      <c r="G28" s="16"/>
      <c r="H28" s="22" t="str">
        <f ca="1">IFERROR(__xludf.dummyfunction("iferror(1000+INT(($N$4-(index(split(G28,"":""),1)*60+index(split(G28,"":""),2 )))/0.2+1)*$N$5,"""")"),"")</f>
        <v/>
      </c>
      <c r="I28" s="16" t="str">
        <f t="shared" ca="1" si="2"/>
        <v/>
      </c>
      <c r="J28" s="16" t="str">
        <f t="shared" ref="J2:J33" si="4">IF(AND(D28="", G28=""), "", E28+H28)</f>
        <v/>
      </c>
      <c r="K28" s="16" t="str">
        <f t="shared" si="3"/>
        <v/>
      </c>
      <c r="L28" s="16"/>
    </row>
    <row r="29" spans="1:12" ht="14.5" x14ac:dyDescent="0.35">
      <c r="A29" s="16"/>
      <c r="B29" s="16"/>
      <c r="C29" s="16"/>
      <c r="D29" s="16"/>
      <c r="E29" s="22" t="str">
        <f ca="1">IFERROR(__xludf.dummyfunction("iferror(1000+INT(($N$2-(index(split(D29,"":""),1)*60+index(split(D29,"":""),2 )))/0.2+1)*$N$3,"""")"),"")</f>
        <v/>
      </c>
      <c r="F29" s="16" t="str">
        <f t="shared" ca="1" si="1"/>
        <v/>
      </c>
      <c r="G29" s="16"/>
      <c r="H29" s="22" t="str">
        <f ca="1">IFERROR(__xludf.dummyfunction("iferror(1000+INT(($N$4-(index(split(G29,"":""),1)*60+index(split(G29,"":""),2 )))/0.2+1)*$N$5,"""")"),"")</f>
        <v/>
      </c>
      <c r="I29" s="16" t="str">
        <f t="shared" ca="1" si="2"/>
        <v/>
      </c>
      <c r="J29" s="16" t="str">
        <f t="shared" si="4"/>
        <v/>
      </c>
      <c r="K29" s="16" t="str">
        <f t="shared" si="3"/>
        <v/>
      </c>
      <c r="L29" s="16"/>
    </row>
    <row r="30" spans="1:12" ht="14.5" x14ac:dyDescent="0.35">
      <c r="A30" s="16"/>
      <c r="B30" s="16"/>
      <c r="C30" s="16"/>
      <c r="D30" s="16"/>
      <c r="E30" s="22" t="str">
        <f ca="1">IFERROR(__xludf.dummyfunction("iferror(1000+INT(($N$2-(index(split(D30,"":""),1)*60+index(split(D30,"":""),2 )))/0.2+1)*$N$3,"""")"),"")</f>
        <v/>
      </c>
      <c r="F30" s="16" t="str">
        <f t="shared" ca="1" si="1"/>
        <v/>
      </c>
      <c r="G30" s="16"/>
      <c r="H30" s="22" t="str">
        <f ca="1">IFERROR(__xludf.dummyfunction("iferror(1000+INT(($N$4-(index(split(G30,"":""),1)*60+index(split(G30,"":""),2 )))/0.2+1)*$N$5,"""")"),"")</f>
        <v/>
      </c>
      <c r="I30" s="16" t="str">
        <f t="shared" ca="1" si="2"/>
        <v/>
      </c>
      <c r="J30" s="16" t="str">
        <f t="shared" si="4"/>
        <v/>
      </c>
      <c r="K30" s="16" t="str">
        <f t="shared" si="3"/>
        <v/>
      </c>
      <c r="L30" s="16"/>
    </row>
    <row r="31" spans="1:12" ht="14.5" x14ac:dyDescent="0.35">
      <c r="A31" s="16"/>
      <c r="B31" s="16"/>
      <c r="C31" s="16"/>
      <c r="D31" s="16"/>
      <c r="E31" s="22" t="str">
        <f ca="1">IFERROR(__xludf.dummyfunction("iferror(1000+INT(($N$2-(index(split(D31,"":""),1)*60+index(split(D31,"":""),2 )))/0.2+1)*$N$3,"""")"),"")</f>
        <v/>
      </c>
      <c r="F31" s="16" t="str">
        <f t="shared" ca="1" si="1"/>
        <v/>
      </c>
      <c r="G31" s="16"/>
      <c r="H31" s="22" t="str">
        <f ca="1">IFERROR(__xludf.dummyfunction("iferror(1000+INT(($N$4-(index(split(G31,"":""),1)*60+index(split(G31,"":""),2 )))/0.2+1)*$N$5,"""")"),"")</f>
        <v/>
      </c>
      <c r="I31" s="16" t="str">
        <f t="shared" ca="1" si="2"/>
        <v/>
      </c>
      <c r="J31" s="16" t="str">
        <f t="shared" si="4"/>
        <v/>
      </c>
      <c r="K31" s="16" t="str">
        <f t="shared" si="3"/>
        <v/>
      </c>
      <c r="L31" s="16"/>
    </row>
    <row r="32" spans="1:12" ht="14.5" x14ac:dyDescent="0.35">
      <c r="A32" s="16"/>
      <c r="B32" s="16"/>
      <c r="C32" s="16"/>
      <c r="D32" s="16"/>
      <c r="E32" s="22" t="str">
        <f ca="1">IFERROR(__xludf.dummyfunction("iferror(1000+INT(($N$2-(index(split(D32,"":""),1)*60+index(split(D32,"":""),2 )))/0.2+1)*$N$3,"""")"),"")</f>
        <v/>
      </c>
      <c r="F32" s="16" t="str">
        <f t="shared" ca="1" si="1"/>
        <v/>
      </c>
      <c r="G32" s="16"/>
      <c r="H32" s="22" t="str">
        <f ca="1">IFERROR(__xludf.dummyfunction("iferror(1000+INT(($N$4-(index(split(G32,"":""),1)*60+index(split(G32,"":""),2 )))/0.2+1)*$N$5,"""")"),"")</f>
        <v/>
      </c>
      <c r="I32" s="16" t="str">
        <f t="shared" ca="1" si="2"/>
        <v/>
      </c>
      <c r="J32" s="16" t="str">
        <f t="shared" si="4"/>
        <v/>
      </c>
      <c r="K32" s="16" t="str">
        <f t="shared" si="3"/>
        <v/>
      </c>
      <c r="L32" s="16"/>
    </row>
    <row r="33" spans="1:12" ht="14.5" x14ac:dyDescent="0.35">
      <c r="A33" s="16"/>
      <c r="B33" s="16"/>
      <c r="C33" s="16"/>
      <c r="D33" s="16"/>
      <c r="E33" s="22" t="str">
        <f ca="1">IFERROR(__xludf.dummyfunction("iferror(1000+INT(($N$2-(index(split(D33,"":""),1)*60+index(split(D33,"":""),2 )))/0.2+1)*$N$3,"""")"),"")</f>
        <v/>
      </c>
      <c r="F33" s="16" t="str">
        <f t="shared" ca="1" si="1"/>
        <v/>
      </c>
      <c r="G33" s="16"/>
      <c r="H33" s="22" t="str">
        <f ca="1">IFERROR(__xludf.dummyfunction("iferror(1000+INT(($N$4-(index(split(G33,"":""),1)*60+index(split(G33,"":""),2 )))/0.2+1)*$N$5,"""")"),"")</f>
        <v/>
      </c>
      <c r="I33" s="16" t="str">
        <f t="shared" ca="1" si="2"/>
        <v/>
      </c>
      <c r="J33" s="16" t="str">
        <f t="shared" si="4"/>
        <v/>
      </c>
      <c r="K33" s="16" t="str">
        <f t="shared" si="3"/>
        <v/>
      </c>
      <c r="L33" s="16"/>
    </row>
    <row r="34" spans="1:12" ht="14.5" x14ac:dyDescent="0.35">
      <c r="A34" s="16"/>
      <c r="B34" s="16"/>
      <c r="C34" s="16"/>
      <c r="D34" s="16"/>
      <c r="E34" s="22" t="str">
        <f ca="1">IFERROR(__xludf.dummyfunction("iferror(1000+INT(($N$2-(index(split(D34,"":""),1)*60+index(split(D34,"":""),2 )))/0.2+1)*$N$3,"""")"),"")</f>
        <v/>
      </c>
      <c r="F34" s="16" t="str">
        <f t="shared" ref="F34:F65" ca="1" si="5">IFERROR(_xlfn.RANK.EQ(E34,E:E),"")</f>
        <v/>
      </c>
      <c r="G34" s="16"/>
      <c r="H34" s="22" t="str">
        <f ca="1">IFERROR(__xludf.dummyfunction("iferror(1000+INT(($N$4-(index(split(G34,"":""),1)*60+index(split(G34,"":""),2 )))/0.2+1)*$N$5,"""")"),"")</f>
        <v/>
      </c>
      <c r="I34" s="16" t="str">
        <f t="shared" ref="I34:I65" ca="1" si="6">IFERROR(_xlfn.RANK.EQ(H34,H:H),"")</f>
        <v/>
      </c>
      <c r="J34" s="16" t="str">
        <f t="shared" ref="J34:J65" si="7">IF(AND(D34="", G34=""), "", E34+H34)</f>
        <v/>
      </c>
      <c r="K34" s="16" t="str">
        <f t="shared" ref="K34:K65" si="8">IFERROR(_xlfn.RANK.EQ(J34,J:J),"")</f>
        <v/>
      </c>
      <c r="L34" s="16"/>
    </row>
    <row r="35" spans="1:12" ht="14.5" x14ac:dyDescent="0.35">
      <c r="A35" s="16"/>
      <c r="B35" s="16"/>
      <c r="C35" s="16"/>
      <c r="D35" s="16"/>
      <c r="E35" s="22" t="str">
        <f ca="1">IFERROR(__xludf.dummyfunction("iferror(1000+INT(($N$2-(index(split(D35,"":""),1)*60+index(split(D35,"":""),2 )))/0.2+1)*$N$3,"""")"),"")</f>
        <v/>
      </c>
      <c r="F35" s="16" t="str">
        <f t="shared" ca="1" si="5"/>
        <v/>
      </c>
      <c r="G35" s="16"/>
      <c r="H35" s="22" t="str">
        <f ca="1">IFERROR(__xludf.dummyfunction("iferror(1000+INT(($N$4-(index(split(G35,"":""),1)*60+index(split(G35,"":""),2 )))/0.2+1)*$N$5,"""")"),"")</f>
        <v/>
      </c>
      <c r="I35" s="16" t="str">
        <f t="shared" ca="1" si="6"/>
        <v/>
      </c>
      <c r="J35" s="16" t="str">
        <f t="shared" si="7"/>
        <v/>
      </c>
      <c r="K35" s="16" t="str">
        <f t="shared" si="8"/>
        <v/>
      </c>
      <c r="L35" s="16"/>
    </row>
    <row r="36" spans="1:12" ht="14.5" x14ac:dyDescent="0.35">
      <c r="A36" s="16"/>
      <c r="B36" s="16"/>
      <c r="C36" s="16"/>
      <c r="D36" s="16"/>
      <c r="E36" s="22" t="str">
        <f ca="1">IFERROR(__xludf.dummyfunction("iferror(1000+INT(($N$2-(index(split(D36,"":""),1)*60+index(split(D36,"":""),2 )))/0.2+1)*$N$3,"""")"),"")</f>
        <v/>
      </c>
      <c r="F36" s="16" t="str">
        <f t="shared" ca="1" si="5"/>
        <v/>
      </c>
      <c r="G36" s="16"/>
      <c r="H36" s="22" t="str">
        <f ca="1">IFERROR(__xludf.dummyfunction("iferror(1000+INT(($N$4-(index(split(G36,"":""),1)*60+index(split(G36,"":""),2 )))/0.2+1)*$N$5,"""")"),"")</f>
        <v/>
      </c>
      <c r="I36" s="16" t="str">
        <f t="shared" ca="1" si="6"/>
        <v/>
      </c>
      <c r="J36" s="16" t="str">
        <f t="shared" si="7"/>
        <v/>
      </c>
      <c r="K36" s="16" t="str">
        <f t="shared" si="8"/>
        <v/>
      </c>
      <c r="L36" s="16"/>
    </row>
    <row r="37" spans="1:12" ht="14.5" x14ac:dyDescent="0.35">
      <c r="A37" s="16"/>
      <c r="B37" s="16"/>
      <c r="C37" s="16"/>
      <c r="D37" s="16"/>
      <c r="E37" s="22" t="str">
        <f ca="1">IFERROR(__xludf.dummyfunction("iferror(1000+INT(($N$2-(index(split(D37,"":""),1)*60+index(split(D37,"":""),2 )))/0.2+1)*$N$3,"""")"),"")</f>
        <v/>
      </c>
      <c r="F37" s="16" t="str">
        <f t="shared" ca="1" si="5"/>
        <v/>
      </c>
      <c r="G37" s="16"/>
      <c r="H37" s="22" t="str">
        <f ca="1">IFERROR(__xludf.dummyfunction("iferror(1000+INT(($N$4-(index(split(G37,"":""),1)*60+index(split(G37,"":""),2 )))/0.2+1)*$N$5,"""")"),"")</f>
        <v/>
      </c>
      <c r="I37" s="16" t="str">
        <f t="shared" ca="1" si="6"/>
        <v/>
      </c>
      <c r="J37" s="16" t="str">
        <f t="shared" si="7"/>
        <v/>
      </c>
      <c r="K37" s="16" t="str">
        <f t="shared" si="8"/>
        <v/>
      </c>
      <c r="L37" s="16"/>
    </row>
    <row r="38" spans="1:12" ht="14.5" x14ac:dyDescent="0.35">
      <c r="A38" s="16"/>
      <c r="B38" s="16"/>
      <c r="C38" s="16"/>
      <c r="D38" s="16"/>
      <c r="E38" s="22" t="str">
        <f ca="1">IFERROR(__xludf.dummyfunction("iferror(1000+INT(($N$2-(index(split(D38,"":""),1)*60+index(split(D38,"":""),2 )))/0.2+1)*$N$3,"""")"),"")</f>
        <v/>
      </c>
      <c r="F38" s="16" t="str">
        <f t="shared" ca="1" si="5"/>
        <v/>
      </c>
      <c r="G38" s="16"/>
      <c r="H38" s="22" t="str">
        <f ca="1">IFERROR(__xludf.dummyfunction("iferror(1000+INT(($N$4-(index(split(G38,"":""),1)*60+index(split(G38,"":""),2 )))/0.2+1)*$N$5,"""")"),"")</f>
        <v/>
      </c>
      <c r="I38" s="16" t="str">
        <f t="shared" ca="1" si="6"/>
        <v/>
      </c>
      <c r="J38" s="16" t="str">
        <f t="shared" si="7"/>
        <v/>
      </c>
      <c r="K38" s="16" t="str">
        <f t="shared" si="8"/>
        <v/>
      </c>
      <c r="L38" s="16"/>
    </row>
    <row r="39" spans="1:12" ht="14.5" x14ac:dyDescent="0.35">
      <c r="A39" s="16"/>
      <c r="B39" s="16"/>
      <c r="C39" s="16"/>
      <c r="D39" s="16"/>
      <c r="E39" s="22" t="str">
        <f ca="1">IFERROR(__xludf.dummyfunction("iferror(1000+INT(($N$2-(index(split(D39,"":""),1)*60+index(split(D39,"":""),2 )))/0.2+1)*$N$3,"""")"),"")</f>
        <v/>
      </c>
      <c r="F39" s="16" t="str">
        <f t="shared" ca="1" si="5"/>
        <v/>
      </c>
      <c r="G39" s="16"/>
      <c r="H39" s="22" t="str">
        <f ca="1">IFERROR(__xludf.dummyfunction("iferror(1000+INT(($N$4-(index(split(G39,"":""),1)*60+index(split(G39,"":""),2 )))/0.2+1)*$N$5,"""")"),"")</f>
        <v/>
      </c>
      <c r="I39" s="16" t="str">
        <f t="shared" ca="1" si="6"/>
        <v/>
      </c>
      <c r="J39" s="16" t="str">
        <f t="shared" si="7"/>
        <v/>
      </c>
      <c r="K39" s="16" t="str">
        <f t="shared" si="8"/>
        <v/>
      </c>
      <c r="L39" s="16"/>
    </row>
    <row r="40" spans="1:12" ht="14.5" x14ac:dyDescent="0.35">
      <c r="A40" s="16"/>
      <c r="B40" s="16"/>
      <c r="C40" s="16"/>
      <c r="D40" s="16"/>
      <c r="E40" s="22" t="str">
        <f ca="1">IFERROR(__xludf.dummyfunction("iferror(1000+INT(($N$2-(index(split(D40,"":""),1)*60+index(split(D40,"":""),2 )))/0.2+1)*$N$3,"""")"),"")</f>
        <v/>
      </c>
      <c r="F40" s="16" t="str">
        <f t="shared" ca="1" si="5"/>
        <v/>
      </c>
      <c r="G40" s="16"/>
      <c r="H40" s="22" t="str">
        <f ca="1">IFERROR(__xludf.dummyfunction("iferror(1000+INT(($N$4-(index(split(G40,"":""),1)*60+index(split(G40,"":""),2 )))/0.2+1)*$N$5,"""")"),"")</f>
        <v/>
      </c>
      <c r="I40" s="16" t="str">
        <f t="shared" ca="1" si="6"/>
        <v/>
      </c>
      <c r="J40" s="16" t="str">
        <f t="shared" si="7"/>
        <v/>
      </c>
      <c r="K40" s="16" t="str">
        <f t="shared" si="8"/>
        <v/>
      </c>
      <c r="L40" s="16"/>
    </row>
    <row r="41" spans="1:12" ht="14.5" x14ac:dyDescent="0.35">
      <c r="A41" s="16"/>
      <c r="B41" s="16"/>
      <c r="C41" s="16"/>
      <c r="D41" s="16"/>
      <c r="E41" s="22" t="str">
        <f ca="1">IFERROR(__xludf.dummyfunction("iferror(1000+INT(($N$2-(index(split(D41,"":""),1)*60+index(split(D41,"":""),2 )))/0.2+1)*$N$3,"""")"),"")</f>
        <v/>
      </c>
      <c r="F41" s="16" t="str">
        <f t="shared" ca="1" si="5"/>
        <v/>
      </c>
      <c r="G41" s="16"/>
      <c r="H41" s="22" t="str">
        <f ca="1">IFERROR(__xludf.dummyfunction("iferror(1000+INT(($N$4-(index(split(G41,"":""),1)*60+index(split(G41,"":""),2 )))/0.2+1)*$N$5,"""")"),"")</f>
        <v/>
      </c>
      <c r="I41" s="16" t="str">
        <f t="shared" ca="1" si="6"/>
        <v/>
      </c>
      <c r="J41" s="16" t="str">
        <f t="shared" si="7"/>
        <v/>
      </c>
      <c r="K41" s="16" t="str">
        <f t="shared" si="8"/>
        <v/>
      </c>
      <c r="L41" s="16"/>
    </row>
    <row r="42" spans="1:12" ht="14.5" x14ac:dyDescent="0.35">
      <c r="A42" s="16"/>
      <c r="B42" s="16"/>
      <c r="C42" s="16"/>
      <c r="D42" s="16"/>
      <c r="E42" s="22" t="str">
        <f ca="1">IFERROR(__xludf.dummyfunction("iferror(1000+INT(($N$2-(index(split(D42,"":""),1)*60+index(split(D42,"":""),2 )))/0.2+1)*$N$3,"""")"),"")</f>
        <v/>
      </c>
      <c r="F42" s="16" t="str">
        <f t="shared" ca="1" si="5"/>
        <v/>
      </c>
      <c r="G42" s="16"/>
      <c r="H42" s="22" t="str">
        <f ca="1">IFERROR(__xludf.dummyfunction("iferror(1000+INT(($N$4-(index(split(G42,"":""),1)*60+index(split(G42,"":""),2 )))/0.2+1)*$N$5,"""")"),"")</f>
        <v/>
      </c>
      <c r="I42" s="16" t="str">
        <f t="shared" ca="1" si="6"/>
        <v/>
      </c>
      <c r="J42" s="16" t="str">
        <f t="shared" si="7"/>
        <v/>
      </c>
      <c r="K42" s="16" t="str">
        <f t="shared" si="8"/>
        <v/>
      </c>
      <c r="L42" s="16"/>
    </row>
    <row r="43" spans="1:12" ht="14.5" x14ac:dyDescent="0.35">
      <c r="A43" s="16"/>
      <c r="B43" s="16"/>
      <c r="C43" s="16"/>
      <c r="D43" s="16"/>
      <c r="E43" s="22" t="str">
        <f ca="1">IFERROR(__xludf.dummyfunction("iferror(1000+INT(($N$2-(index(split(D43,"":""),1)*60+index(split(D43,"":""),2 )))/0.2+1)*$N$3,"""")"),"")</f>
        <v/>
      </c>
      <c r="F43" s="16" t="str">
        <f t="shared" ca="1" si="5"/>
        <v/>
      </c>
      <c r="G43" s="16"/>
      <c r="H43" s="22" t="str">
        <f ca="1">IFERROR(__xludf.dummyfunction("iferror(1000+INT(($N$4-(index(split(G43,"":""),1)*60+index(split(G43,"":""),2 )))/0.2+1)*$N$5,"""")"),"")</f>
        <v/>
      </c>
      <c r="I43" s="16" t="str">
        <f t="shared" ca="1" si="6"/>
        <v/>
      </c>
      <c r="J43" s="16" t="str">
        <f t="shared" si="7"/>
        <v/>
      </c>
      <c r="K43" s="16" t="str">
        <f t="shared" si="8"/>
        <v/>
      </c>
      <c r="L43" s="16"/>
    </row>
    <row r="44" spans="1:12" ht="14.5" x14ac:dyDescent="0.35">
      <c r="A44" s="16"/>
      <c r="B44" s="16"/>
      <c r="C44" s="16"/>
      <c r="D44" s="16"/>
      <c r="E44" s="22" t="str">
        <f ca="1">IFERROR(__xludf.dummyfunction("iferror(1000+INT(($N$2-(index(split(D44,"":""),1)*60+index(split(D44,"":""),2 )))/0.2+1)*$N$3,"""")"),"")</f>
        <v/>
      </c>
      <c r="F44" s="16" t="str">
        <f t="shared" ca="1" si="5"/>
        <v/>
      </c>
      <c r="G44" s="16"/>
      <c r="H44" s="22" t="str">
        <f ca="1">IFERROR(__xludf.dummyfunction("iferror(1000+INT(($N$4-(index(split(G44,"":""),1)*60+index(split(G44,"":""),2 )))/0.2+1)*$N$5,"""")"),"")</f>
        <v/>
      </c>
      <c r="I44" s="16" t="str">
        <f t="shared" ca="1" si="6"/>
        <v/>
      </c>
      <c r="J44" s="16" t="str">
        <f t="shared" si="7"/>
        <v/>
      </c>
      <c r="K44" s="16" t="str">
        <f t="shared" si="8"/>
        <v/>
      </c>
      <c r="L44" s="16"/>
    </row>
    <row r="45" spans="1:12" ht="14.5" x14ac:dyDescent="0.35">
      <c r="A45" s="16"/>
      <c r="B45" s="16"/>
      <c r="C45" s="16"/>
      <c r="D45" s="16"/>
      <c r="E45" s="22" t="str">
        <f ca="1">IFERROR(__xludf.dummyfunction("iferror(1000+INT(($N$2-(index(split(D45,"":""),1)*60+index(split(D45,"":""),2 )))/0.2+1)*$N$3,"""")"),"")</f>
        <v/>
      </c>
      <c r="F45" s="16" t="str">
        <f t="shared" ca="1" si="5"/>
        <v/>
      </c>
      <c r="G45" s="16"/>
      <c r="H45" s="22" t="str">
        <f ca="1">IFERROR(__xludf.dummyfunction("iferror(1000+INT(($N$4-(index(split(G45,"":""),1)*60+index(split(G45,"":""),2 )))/0.2+1)*$N$5,"""")"),"")</f>
        <v/>
      </c>
      <c r="I45" s="16" t="str">
        <f t="shared" ca="1" si="6"/>
        <v/>
      </c>
      <c r="J45" s="16" t="str">
        <f t="shared" si="7"/>
        <v/>
      </c>
      <c r="K45" s="16" t="str">
        <f t="shared" si="8"/>
        <v/>
      </c>
      <c r="L45" s="16"/>
    </row>
    <row r="46" spans="1:12" ht="14.5" x14ac:dyDescent="0.35">
      <c r="A46" s="16"/>
      <c r="B46" s="16"/>
      <c r="C46" s="16"/>
      <c r="D46" s="16"/>
      <c r="E46" s="22" t="str">
        <f ca="1">IFERROR(__xludf.dummyfunction("iferror(1000+INT(($N$2-(index(split(D46,"":""),1)*60+index(split(D46,"":""),2 )))/0.2+1)*$N$3,"""")"),"")</f>
        <v/>
      </c>
      <c r="F46" s="16" t="str">
        <f t="shared" ca="1" si="5"/>
        <v/>
      </c>
      <c r="G46" s="16"/>
      <c r="H46" s="22" t="str">
        <f ca="1">IFERROR(__xludf.dummyfunction("iferror(1000+INT(($N$4-(index(split(G46,"":""),1)*60+index(split(G46,"":""),2 )))/0.2+1)*$N$5,"""")"),"")</f>
        <v/>
      </c>
      <c r="I46" s="16" t="str">
        <f t="shared" ca="1" si="6"/>
        <v/>
      </c>
      <c r="J46" s="16" t="str">
        <f t="shared" si="7"/>
        <v/>
      </c>
      <c r="K46" s="16" t="str">
        <f t="shared" si="8"/>
        <v/>
      </c>
      <c r="L46" s="16"/>
    </row>
    <row r="47" spans="1:12" ht="14.5" x14ac:dyDescent="0.35">
      <c r="A47" s="16"/>
      <c r="B47" s="16"/>
      <c r="C47" s="16"/>
      <c r="D47" s="16"/>
      <c r="E47" s="22" t="str">
        <f ca="1">IFERROR(__xludf.dummyfunction("iferror(1000+INT(($N$2-(index(split(D47,"":""),1)*60+index(split(D47,"":""),2 )))/0.2+1)*$N$3,"""")"),"")</f>
        <v/>
      </c>
      <c r="F47" s="16" t="str">
        <f t="shared" ca="1" si="5"/>
        <v/>
      </c>
      <c r="G47" s="16"/>
      <c r="H47" s="22" t="str">
        <f ca="1">IFERROR(__xludf.dummyfunction("iferror(1000+INT(($N$4-(index(split(G47,"":""),1)*60+index(split(G47,"":""),2 )))/0.2+1)*$N$5,"""")"),"")</f>
        <v/>
      </c>
      <c r="I47" s="16" t="str">
        <f t="shared" ca="1" si="6"/>
        <v/>
      </c>
      <c r="J47" s="16" t="str">
        <f t="shared" si="7"/>
        <v/>
      </c>
      <c r="K47" s="16" t="str">
        <f t="shared" si="8"/>
        <v/>
      </c>
      <c r="L47" s="16"/>
    </row>
    <row r="48" spans="1:12" ht="14.5" x14ac:dyDescent="0.35">
      <c r="A48" s="16"/>
      <c r="B48" s="16"/>
      <c r="C48" s="16"/>
      <c r="D48" s="16"/>
      <c r="E48" s="22" t="str">
        <f ca="1">IFERROR(__xludf.dummyfunction("iferror(1000+INT(($N$2-(index(split(D48,"":""),1)*60+index(split(D48,"":""),2 )))/0.2+1)*$N$3,"""")"),"")</f>
        <v/>
      </c>
      <c r="F48" s="16" t="str">
        <f t="shared" ca="1" si="5"/>
        <v/>
      </c>
      <c r="G48" s="16"/>
      <c r="H48" s="22" t="str">
        <f ca="1">IFERROR(__xludf.dummyfunction("iferror(1000+INT(($N$4-(index(split(G48,"":""),1)*60+index(split(G48,"":""),2 )))/0.2+1)*$N$5,"""")"),"")</f>
        <v/>
      </c>
      <c r="I48" s="16" t="str">
        <f t="shared" ca="1" si="6"/>
        <v/>
      </c>
      <c r="J48" s="16" t="str">
        <f t="shared" si="7"/>
        <v/>
      </c>
      <c r="K48" s="16" t="str">
        <f t="shared" si="8"/>
        <v/>
      </c>
      <c r="L48" s="16"/>
    </row>
    <row r="49" spans="1:12" ht="14.5" x14ac:dyDescent="0.35">
      <c r="A49" s="16"/>
      <c r="B49" s="16"/>
      <c r="C49" s="16"/>
      <c r="D49" s="16"/>
      <c r="E49" s="22" t="str">
        <f ca="1">IFERROR(__xludf.dummyfunction("iferror(1000+INT(($N$2-(index(split(D49,"":""),1)*60+index(split(D49,"":""),2 )))/0.2+1)*$N$3,"""")"),"")</f>
        <v/>
      </c>
      <c r="F49" s="16" t="str">
        <f t="shared" ca="1" si="5"/>
        <v/>
      </c>
      <c r="G49" s="16"/>
      <c r="H49" s="22" t="str">
        <f ca="1">IFERROR(__xludf.dummyfunction("iferror(1000+INT(($N$4-(index(split(G49,"":""),1)*60+index(split(G49,"":""),2 )))/0.2+1)*$N$5,"""")"),"")</f>
        <v/>
      </c>
      <c r="I49" s="16" t="str">
        <f t="shared" ca="1" si="6"/>
        <v/>
      </c>
      <c r="J49" s="16" t="str">
        <f t="shared" si="7"/>
        <v/>
      </c>
      <c r="K49" s="16" t="str">
        <f t="shared" si="8"/>
        <v/>
      </c>
      <c r="L49" s="16"/>
    </row>
    <row r="50" spans="1:12" ht="14.5" x14ac:dyDescent="0.35">
      <c r="A50" s="16"/>
      <c r="B50" s="16"/>
      <c r="C50" s="16"/>
      <c r="D50" s="16"/>
      <c r="E50" s="22" t="str">
        <f ca="1">IFERROR(__xludf.dummyfunction("iferror(1000+INT(($N$2-(index(split(D50,"":""),1)*60+index(split(D50,"":""),2 )))/0.2+1)*$N$3,"""")"),"")</f>
        <v/>
      </c>
      <c r="F50" s="16" t="str">
        <f t="shared" ca="1" si="5"/>
        <v/>
      </c>
      <c r="G50" s="16"/>
      <c r="H50" s="22" t="str">
        <f ca="1">IFERROR(__xludf.dummyfunction("iferror(1000+INT(($N$4-(index(split(G50,"":""),1)*60+index(split(G50,"":""),2 )))/0.2+1)*$N$5,"""")"),"")</f>
        <v/>
      </c>
      <c r="I50" s="16" t="str">
        <f t="shared" ca="1" si="6"/>
        <v/>
      </c>
      <c r="J50" s="16" t="str">
        <f t="shared" si="7"/>
        <v/>
      </c>
      <c r="K50" s="16" t="str">
        <f t="shared" si="8"/>
        <v/>
      </c>
      <c r="L50" s="16"/>
    </row>
    <row r="51" spans="1:12" ht="14.5" x14ac:dyDescent="0.35">
      <c r="A51" s="16"/>
      <c r="B51" s="16"/>
      <c r="C51" s="16"/>
      <c r="D51" s="16"/>
      <c r="E51" s="22" t="str">
        <f ca="1">IFERROR(__xludf.dummyfunction("iferror(1000+INT(($N$2-(index(split(D51,"":""),1)*60+index(split(D51,"":""),2 )))/0.2+1)*$N$3,"""")"),"")</f>
        <v/>
      </c>
      <c r="F51" s="16" t="str">
        <f t="shared" ca="1" si="5"/>
        <v/>
      </c>
      <c r="G51" s="16"/>
      <c r="H51" s="22" t="str">
        <f ca="1">IFERROR(__xludf.dummyfunction("iferror(1000+INT(($N$4-(index(split(G51,"":""),1)*60+index(split(G51,"":""),2 )))/0.2+1)*$N$5,"""")"),"")</f>
        <v/>
      </c>
      <c r="I51" s="16" t="str">
        <f t="shared" ca="1" si="6"/>
        <v/>
      </c>
      <c r="J51" s="16" t="str">
        <f t="shared" si="7"/>
        <v/>
      </c>
      <c r="K51" s="16" t="str">
        <f t="shared" si="8"/>
        <v/>
      </c>
      <c r="L51" s="16"/>
    </row>
    <row r="52" spans="1:12" ht="14.5" x14ac:dyDescent="0.35">
      <c r="A52" s="16"/>
      <c r="B52" s="16"/>
      <c r="C52" s="16"/>
      <c r="D52" s="16"/>
      <c r="E52" s="22" t="str">
        <f ca="1">IFERROR(__xludf.dummyfunction("iferror(1000+INT(($N$2-(index(split(D52,"":""),1)*60+index(split(D52,"":""),2 )))/0.2+1)*$N$3,"""")"),"")</f>
        <v/>
      </c>
      <c r="F52" s="16" t="str">
        <f t="shared" ca="1" si="5"/>
        <v/>
      </c>
      <c r="G52" s="16"/>
      <c r="H52" s="22" t="str">
        <f ca="1">IFERROR(__xludf.dummyfunction("iferror(1000+INT(($N$4-(index(split(G52,"":""),1)*60+index(split(G52,"":""),2 )))/0.2+1)*$N$5,"""")"),"")</f>
        <v/>
      </c>
      <c r="I52" s="16" t="str">
        <f t="shared" ca="1" si="6"/>
        <v/>
      </c>
      <c r="J52" s="16" t="str">
        <f t="shared" si="7"/>
        <v/>
      </c>
      <c r="K52" s="16" t="str">
        <f t="shared" si="8"/>
        <v/>
      </c>
      <c r="L52" s="16"/>
    </row>
    <row r="53" spans="1:12" ht="14.5" x14ac:dyDescent="0.35">
      <c r="A53" s="16"/>
      <c r="B53" s="16"/>
      <c r="C53" s="16"/>
      <c r="D53" s="16"/>
      <c r="E53" s="22" t="str">
        <f ca="1">IFERROR(__xludf.dummyfunction("iferror(1000+INT(($N$2-(index(split(D53,"":""),1)*60+index(split(D53,"":""),2 )))/0.2+1)*$N$3,"""")"),"")</f>
        <v/>
      </c>
      <c r="F53" s="16" t="str">
        <f t="shared" ca="1" si="5"/>
        <v/>
      </c>
      <c r="G53" s="16"/>
      <c r="H53" s="22" t="str">
        <f ca="1">IFERROR(__xludf.dummyfunction("iferror(1000+INT(($N$4-(index(split(G53,"":""),1)*60+index(split(G53,"":""),2 )))/0.2+1)*$N$5,"""")"),"")</f>
        <v/>
      </c>
      <c r="I53" s="16" t="str">
        <f t="shared" ca="1" si="6"/>
        <v/>
      </c>
      <c r="J53" s="16" t="str">
        <f t="shared" si="7"/>
        <v/>
      </c>
      <c r="K53" s="16" t="str">
        <f t="shared" si="8"/>
        <v/>
      </c>
      <c r="L53" s="16"/>
    </row>
    <row r="54" spans="1:12" ht="14.5" x14ac:dyDescent="0.35">
      <c r="A54" s="16"/>
      <c r="B54" s="16"/>
      <c r="C54" s="16"/>
      <c r="D54" s="16"/>
      <c r="E54" s="22" t="str">
        <f ca="1">IFERROR(__xludf.dummyfunction("iferror(1000+INT(($N$2-(index(split(D54,"":""),1)*60+index(split(D54,"":""),2 )))/0.2+1)*$N$3,"""")"),"")</f>
        <v/>
      </c>
      <c r="F54" s="16" t="str">
        <f t="shared" ca="1" si="5"/>
        <v/>
      </c>
      <c r="G54" s="16"/>
      <c r="H54" s="22" t="str">
        <f ca="1">IFERROR(__xludf.dummyfunction("iferror(1000+INT(($N$4-(index(split(G54,"":""),1)*60+index(split(G54,"":""),2 )))/0.2+1)*$N$5,"""")"),"")</f>
        <v/>
      </c>
      <c r="I54" s="16" t="str">
        <f t="shared" ca="1" si="6"/>
        <v/>
      </c>
      <c r="J54" s="16" t="str">
        <f t="shared" si="7"/>
        <v/>
      </c>
      <c r="K54" s="16" t="str">
        <f t="shared" si="8"/>
        <v/>
      </c>
      <c r="L54" s="16"/>
    </row>
    <row r="55" spans="1:12" ht="14.5" x14ac:dyDescent="0.35">
      <c r="A55" s="16"/>
      <c r="B55" s="16"/>
      <c r="C55" s="16"/>
      <c r="D55" s="16"/>
      <c r="E55" s="22" t="str">
        <f ca="1">IFERROR(__xludf.dummyfunction("iferror(1000+INT(($N$2-(index(split(D55,"":""),1)*60+index(split(D55,"":""),2 )))/0.2+1)*$N$3,"""")"),"")</f>
        <v/>
      </c>
      <c r="F55" s="16" t="str">
        <f t="shared" ca="1" si="5"/>
        <v/>
      </c>
      <c r="G55" s="16"/>
      <c r="H55" s="22" t="str">
        <f ca="1">IFERROR(__xludf.dummyfunction("iferror(1000+INT(($N$4-(index(split(G55,"":""),1)*60+index(split(G55,"":""),2 )))/0.2+1)*$N$5,"""")"),"")</f>
        <v/>
      </c>
      <c r="I55" s="16" t="str">
        <f t="shared" ca="1" si="6"/>
        <v/>
      </c>
      <c r="J55" s="16" t="str">
        <f t="shared" si="7"/>
        <v/>
      </c>
      <c r="K55" s="16" t="str">
        <f t="shared" si="8"/>
        <v/>
      </c>
      <c r="L55" s="16"/>
    </row>
    <row r="56" spans="1:12" ht="14.5" x14ac:dyDescent="0.35">
      <c r="A56" s="16"/>
      <c r="B56" s="16"/>
      <c r="C56" s="16"/>
      <c r="D56" s="16"/>
      <c r="E56" s="22" t="str">
        <f ca="1">IFERROR(__xludf.dummyfunction("iferror(1000+INT(($N$2-(index(split(D56,"":""),1)*60+index(split(D56,"":""),2 )))/0.2+1)*$N$3,"""")"),"")</f>
        <v/>
      </c>
      <c r="F56" s="16" t="str">
        <f t="shared" ca="1" si="5"/>
        <v/>
      </c>
      <c r="G56" s="16"/>
      <c r="H56" s="22" t="str">
        <f ca="1">IFERROR(__xludf.dummyfunction("iferror(1000+INT(($N$4-(index(split(G56,"":""),1)*60+index(split(G56,"":""),2 )))/0.2+1)*$N$5,"""")"),"")</f>
        <v/>
      </c>
      <c r="I56" s="16" t="str">
        <f t="shared" ca="1" si="6"/>
        <v/>
      </c>
      <c r="J56" s="16" t="str">
        <f t="shared" si="7"/>
        <v/>
      </c>
      <c r="K56" s="16" t="str">
        <f t="shared" si="8"/>
        <v/>
      </c>
      <c r="L56" s="16"/>
    </row>
    <row r="57" spans="1:12" ht="14.5" x14ac:dyDescent="0.35">
      <c r="A57" s="16"/>
      <c r="B57" s="16"/>
      <c r="C57" s="16"/>
      <c r="D57" s="16"/>
      <c r="E57" s="22" t="str">
        <f ca="1">IFERROR(__xludf.dummyfunction("iferror(1000+INT(($N$2-(index(split(D57,"":""),1)*60+index(split(D57,"":""),2 )))/0.2+1)*$N$3,"""")"),"")</f>
        <v/>
      </c>
      <c r="F57" s="16" t="str">
        <f t="shared" ca="1" si="5"/>
        <v/>
      </c>
      <c r="G57" s="16"/>
      <c r="H57" s="22" t="str">
        <f ca="1">IFERROR(__xludf.dummyfunction("iferror(1000+INT(($N$4-(index(split(G57,"":""),1)*60+index(split(G57,"":""),2 )))/0.2+1)*$N$5,"""")"),"")</f>
        <v/>
      </c>
      <c r="I57" s="16" t="str">
        <f t="shared" ca="1" si="6"/>
        <v/>
      </c>
      <c r="J57" s="16" t="str">
        <f t="shared" si="7"/>
        <v/>
      </c>
      <c r="K57" s="16" t="str">
        <f t="shared" si="8"/>
        <v/>
      </c>
      <c r="L57" s="16"/>
    </row>
    <row r="58" spans="1:12" ht="14.5" x14ac:dyDescent="0.35">
      <c r="A58" s="16"/>
      <c r="B58" s="16"/>
      <c r="C58" s="16"/>
      <c r="D58" s="16"/>
      <c r="E58" s="22" t="str">
        <f ca="1">IFERROR(__xludf.dummyfunction("iferror(1000+INT(($N$2-(index(split(D58,"":""),1)*60+index(split(D58,"":""),2 )))/0.2+1)*$N$3,"""")"),"")</f>
        <v/>
      </c>
      <c r="F58" s="16" t="str">
        <f t="shared" ca="1" si="5"/>
        <v/>
      </c>
      <c r="G58" s="16"/>
      <c r="H58" s="22" t="str">
        <f ca="1">IFERROR(__xludf.dummyfunction("iferror(1000+INT(($N$4-(index(split(G58,"":""),1)*60+index(split(G58,"":""),2 )))/0.2+1)*$N$5,"""")"),"")</f>
        <v/>
      </c>
      <c r="I58" s="16" t="str">
        <f t="shared" ca="1" si="6"/>
        <v/>
      </c>
      <c r="J58" s="16" t="str">
        <f t="shared" si="7"/>
        <v/>
      </c>
      <c r="K58" s="16" t="str">
        <f t="shared" si="8"/>
        <v/>
      </c>
      <c r="L58" s="16"/>
    </row>
    <row r="59" spans="1:12" ht="14.5" x14ac:dyDescent="0.35">
      <c r="A59" s="16"/>
      <c r="B59" s="16"/>
      <c r="C59" s="16"/>
      <c r="D59" s="16"/>
      <c r="E59" s="22" t="str">
        <f ca="1">IFERROR(__xludf.dummyfunction("iferror(1000+INT(($N$2-(index(split(D59,"":""),1)*60+index(split(D59,"":""),2 )))/0.2+1)*$N$3,"""")"),"")</f>
        <v/>
      </c>
      <c r="F59" s="16" t="str">
        <f t="shared" ca="1" si="5"/>
        <v/>
      </c>
      <c r="G59" s="16"/>
      <c r="H59" s="22" t="str">
        <f ca="1">IFERROR(__xludf.dummyfunction("iferror(1000+INT(($N$4-(index(split(G59,"":""),1)*60+index(split(G59,"":""),2 )))/0.2+1)*$N$5,"""")"),"")</f>
        <v/>
      </c>
      <c r="I59" s="16" t="str">
        <f t="shared" ca="1" si="6"/>
        <v/>
      </c>
      <c r="J59" s="16" t="str">
        <f t="shared" si="7"/>
        <v/>
      </c>
      <c r="K59" s="16" t="str">
        <f t="shared" si="8"/>
        <v/>
      </c>
      <c r="L59" s="16"/>
    </row>
    <row r="60" spans="1:12" ht="14.5" x14ac:dyDescent="0.35">
      <c r="A60" s="16"/>
      <c r="B60" s="16"/>
      <c r="C60" s="16"/>
      <c r="D60" s="16"/>
      <c r="E60" s="22" t="str">
        <f ca="1">IFERROR(__xludf.dummyfunction("iferror(1000+INT(($N$2-(index(split(D60,"":""),1)*60+index(split(D60,"":""),2 )))/0.2+1)*$N$3,"""")"),"")</f>
        <v/>
      </c>
      <c r="F60" s="16" t="str">
        <f t="shared" ca="1" si="5"/>
        <v/>
      </c>
      <c r="G60" s="16"/>
      <c r="H60" s="22" t="str">
        <f ca="1">IFERROR(__xludf.dummyfunction("iferror(1000+INT(($N$4-(index(split(G60,"":""),1)*60+index(split(G60,"":""),2 )))/0.2+1)*$N$5,"""")"),"")</f>
        <v/>
      </c>
      <c r="I60" s="16" t="str">
        <f t="shared" ca="1" si="6"/>
        <v/>
      </c>
      <c r="J60" s="16" t="str">
        <f t="shared" si="7"/>
        <v/>
      </c>
      <c r="K60" s="16" t="str">
        <f t="shared" si="8"/>
        <v/>
      </c>
      <c r="L60" s="16"/>
    </row>
    <row r="61" spans="1:12" ht="14.5" x14ac:dyDescent="0.35">
      <c r="A61" s="16"/>
      <c r="B61" s="16"/>
      <c r="C61" s="16"/>
      <c r="D61" s="16"/>
      <c r="E61" s="22" t="str">
        <f ca="1">IFERROR(__xludf.dummyfunction("iferror(1000+INT(($N$2-(index(split(D61,"":""),1)*60+index(split(D61,"":""),2 )))/0.2+1)*$N$3,"""")"),"")</f>
        <v/>
      </c>
      <c r="F61" s="16" t="str">
        <f t="shared" ca="1" si="5"/>
        <v/>
      </c>
      <c r="G61" s="16"/>
      <c r="H61" s="22" t="str">
        <f ca="1">IFERROR(__xludf.dummyfunction("iferror(1000+INT(($N$4-(index(split(G61,"":""),1)*60+index(split(G61,"":""),2 )))/0.2+1)*$N$5,"""")"),"")</f>
        <v/>
      </c>
      <c r="I61" s="16" t="str">
        <f t="shared" ca="1" si="6"/>
        <v/>
      </c>
      <c r="J61" s="16" t="str">
        <f t="shared" si="7"/>
        <v/>
      </c>
      <c r="K61" s="16" t="str">
        <f t="shared" si="8"/>
        <v/>
      </c>
      <c r="L61" s="16"/>
    </row>
    <row r="62" spans="1:12" ht="14.5" x14ac:dyDescent="0.35">
      <c r="A62" s="16"/>
      <c r="B62" s="16"/>
      <c r="C62" s="16"/>
      <c r="D62" s="16"/>
      <c r="E62" s="22" t="str">
        <f ca="1">IFERROR(__xludf.dummyfunction("iferror(1000+INT(($N$2-(index(split(D62,"":""),1)*60+index(split(D62,"":""),2 )))/0.2+1)*$N$3,"""")"),"")</f>
        <v/>
      </c>
      <c r="F62" s="16" t="str">
        <f t="shared" ca="1" si="5"/>
        <v/>
      </c>
      <c r="G62" s="16"/>
      <c r="H62" s="22" t="str">
        <f ca="1">IFERROR(__xludf.dummyfunction("iferror(1000+INT(($N$4-(index(split(G62,"":""),1)*60+index(split(G62,"":""),2 )))/0.2+1)*$N$5,"""")"),"")</f>
        <v/>
      </c>
      <c r="I62" s="16" t="str">
        <f t="shared" ca="1" si="6"/>
        <v/>
      </c>
      <c r="J62" s="16" t="str">
        <f t="shared" si="7"/>
        <v/>
      </c>
      <c r="K62" s="16" t="str">
        <f t="shared" si="8"/>
        <v/>
      </c>
      <c r="L62" s="16"/>
    </row>
    <row r="63" spans="1:12" ht="14.5" x14ac:dyDescent="0.35">
      <c r="A63" s="16"/>
      <c r="B63" s="16"/>
      <c r="C63" s="16"/>
      <c r="D63" s="16"/>
      <c r="E63" s="22" t="str">
        <f ca="1">IFERROR(__xludf.dummyfunction("iferror(1000+INT(($N$2-(index(split(D63,"":""),1)*60+index(split(D63,"":""),2 )))/0.2+1)*$N$3,"""")"),"")</f>
        <v/>
      </c>
      <c r="F63" s="16" t="str">
        <f t="shared" ca="1" si="5"/>
        <v/>
      </c>
      <c r="G63" s="16"/>
      <c r="H63" s="22" t="str">
        <f ca="1">IFERROR(__xludf.dummyfunction("iferror(1000+INT(($N$4-(index(split(G63,"":""),1)*60+index(split(G63,"":""),2 )))/0.2+1)*$N$5,"""")"),"")</f>
        <v/>
      </c>
      <c r="I63" s="16" t="str">
        <f t="shared" ca="1" si="6"/>
        <v/>
      </c>
      <c r="J63" s="16" t="str">
        <f t="shared" si="7"/>
        <v/>
      </c>
      <c r="K63" s="16" t="str">
        <f t="shared" si="8"/>
        <v/>
      </c>
      <c r="L63" s="16"/>
    </row>
    <row r="64" spans="1:12" ht="14.5" x14ac:dyDescent="0.35">
      <c r="A64" s="16"/>
      <c r="B64" s="16"/>
      <c r="C64" s="16"/>
      <c r="D64" s="16"/>
      <c r="E64" s="22" t="str">
        <f ca="1">IFERROR(__xludf.dummyfunction("iferror(1000+INT(($N$2-(index(split(D64,"":""),1)*60+index(split(D64,"":""),2 )))/0.2+1)*$N$3,"""")"),"")</f>
        <v/>
      </c>
      <c r="F64" s="16" t="str">
        <f t="shared" ca="1" si="5"/>
        <v/>
      </c>
      <c r="G64" s="16"/>
      <c r="H64" s="22" t="str">
        <f ca="1">IFERROR(__xludf.dummyfunction("iferror(1000+INT(($N$4-(index(split(G64,"":""),1)*60+index(split(G64,"":""),2 )))/0.2+1)*$N$5,"""")"),"")</f>
        <v/>
      </c>
      <c r="I64" s="16" t="str">
        <f t="shared" ca="1" si="6"/>
        <v/>
      </c>
      <c r="J64" s="16" t="str">
        <f t="shared" si="7"/>
        <v/>
      </c>
      <c r="K64" s="16" t="str">
        <f t="shared" si="8"/>
        <v/>
      </c>
      <c r="L64" s="16"/>
    </row>
    <row r="65" spans="1:12" ht="14.5" x14ac:dyDescent="0.35">
      <c r="A65" s="16"/>
      <c r="B65" s="16"/>
      <c r="C65" s="16"/>
      <c r="D65" s="16"/>
      <c r="E65" s="22" t="str">
        <f ca="1">IFERROR(__xludf.dummyfunction("iferror(1000+INT(($N$2-(index(split(D65,"":""),1)*60+index(split(D65,"":""),2 )))/0.2+1)*$N$3,"""")"),"")</f>
        <v/>
      </c>
      <c r="F65" s="16" t="str">
        <f t="shared" ca="1" si="5"/>
        <v/>
      </c>
      <c r="G65" s="16"/>
      <c r="H65" s="22" t="str">
        <f ca="1">IFERROR(__xludf.dummyfunction("iferror(1000+INT(($N$4-(index(split(G65,"":""),1)*60+index(split(G65,"":""),2 )))/0.2+1)*$N$5,"""")"),"")</f>
        <v/>
      </c>
      <c r="I65" s="16" t="str">
        <f t="shared" ca="1" si="6"/>
        <v/>
      </c>
      <c r="J65" s="16" t="str">
        <f t="shared" si="7"/>
        <v/>
      </c>
      <c r="K65" s="16" t="str">
        <f t="shared" si="8"/>
        <v/>
      </c>
      <c r="L65" s="16"/>
    </row>
    <row r="66" spans="1:12" ht="14.5" x14ac:dyDescent="0.35">
      <c r="A66" s="16"/>
      <c r="B66" s="16"/>
      <c r="C66" s="16"/>
      <c r="D66" s="16"/>
      <c r="E66" s="22" t="str">
        <f ca="1">IFERROR(__xludf.dummyfunction("iferror(1000+INT(($N$2-(index(split(D66,"":""),1)*60+index(split(D66,"":""),2 )))/0.2+1)*$N$3,"""")"),"")</f>
        <v/>
      </c>
      <c r="F66" s="16" t="str">
        <f t="shared" ref="F66:F97" ca="1" si="9">IFERROR(_xlfn.RANK.EQ(E66,E:E),"")</f>
        <v/>
      </c>
      <c r="G66" s="16"/>
      <c r="H66" s="22" t="str">
        <f ca="1">IFERROR(__xludf.dummyfunction("iferror(1000+INT(($N$4-(index(split(G66,"":""),1)*60+index(split(G66,"":""),2 )))/0.2+1)*$N$5,"""")"),"")</f>
        <v/>
      </c>
      <c r="I66" s="16" t="str">
        <f t="shared" ref="I66:I97" ca="1" si="10">IFERROR(_xlfn.RANK.EQ(H66,H:H),"")</f>
        <v/>
      </c>
      <c r="J66" s="16" t="str">
        <f t="shared" ref="J66:J100" si="11">IF(AND(D66="", G66=""), "", E66+H66)</f>
        <v/>
      </c>
      <c r="K66" s="16" t="str">
        <f t="shared" ref="K66:K97" si="12">IFERROR(_xlfn.RANK.EQ(J66,J:J),"")</f>
        <v/>
      </c>
      <c r="L66" s="16"/>
    </row>
    <row r="67" spans="1:12" ht="14.5" x14ac:dyDescent="0.35">
      <c r="A67" s="16"/>
      <c r="B67" s="16"/>
      <c r="C67" s="16"/>
      <c r="D67" s="16"/>
      <c r="E67" s="22" t="str">
        <f ca="1">IFERROR(__xludf.dummyfunction("iferror(1000+INT(($N$2-(index(split(D67,"":""),1)*60+index(split(D67,"":""),2 )))/0.2+1)*$N$3,"""")"),"")</f>
        <v/>
      </c>
      <c r="F67" s="16" t="str">
        <f t="shared" ca="1" si="9"/>
        <v/>
      </c>
      <c r="G67" s="16"/>
      <c r="H67" s="22" t="str">
        <f ca="1">IFERROR(__xludf.dummyfunction("iferror(1000+INT(($N$4-(index(split(G67,"":""),1)*60+index(split(G67,"":""),2 )))/0.2+1)*$N$5,"""")"),"")</f>
        <v/>
      </c>
      <c r="I67" s="16" t="str">
        <f t="shared" ca="1" si="10"/>
        <v/>
      </c>
      <c r="J67" s="16" t="str">
        <f t="shared" si="11"/>
        <v/>
      </c>
      <c r="K67" s="16" t="str">
        <f t="shared" si="12"/>
        <v/>
      </c>
      <c r="L67" s="16"/>
    </row>
    <row r="68" spans="1:12" ht="14.5" x14ac:dyDescent="0.35">
      <c r="A68" s="16"/>
      <c r="B68" s="16"/>
      <c r="C68" s="16"/>
      <c r="D68" s="16"/>
      <c r="E68" s="22" t="str">
        <f ca="1">IFERROR(__xludf.dummyfunction("iferror(1000+INT(($N$2-(index(split(D68,"":""),1)*60+index(split(D68,"":""),2 )))/0.2+1)*$N$3,"""")"),"")</f>
        <v/>
      </c>
      <c r="F68" s="16" t="str">
        <f t="shared" ca="1" si="9"/>
        <v/>
      </c>
      <c r="G68" s="16"/>
      <c r="H68" s="22" t="str">
        <f ca="1">IFERROR(__xludf.dummyfunction("iferror(1000+INT(($N$4-(index(split(G68,"":""),1)*60+index(split(G68,"":""),2 )))/0.2+1)*$N$5,"""")"),"")</f>
        <v/>
      </c>
      <c r="I68" s="16" t="str">
        <f t="shared" ca="1" si="10"/>
        <v/>
      </c>
      <c r="J68" s="16" t="str">
        <f t="shared" si="11"/>
        <v/>
      </c>
      <c r="K68" s="16" t="str">
        <f t="shared" si="12"/>
        <v/>
      </c>
      <c r="L68" s="16"/>
    </row>
    <row r="69" spans="1:12" ht="14.5" x14ac:dyDescent="0.35">
      <c r="A69" s="16"/>
      <c r="B69" s="16"/>
      <c r="C69" s="16"/>
      <c r="D69" s="16"/>
      <c r="E69" s="22" t="str">
        <f ca="1">IFERROR(__xludf.dummyfunction("iferror(1000+INT(($N$2-(index(split(D69,"":""),1)*60+index(split(D69,"":""),2 )))/0.2+1)*$N$3,"""")"),"")</f>
        <v/>
      </c>
      <c r="F69" s="16" t="str">
        <f t="shared" ca="1" si="9"/>
        <v/>
      </c>
      <c r="G69" s="16"/>
      <c r="H69" s="22" t="str">
        <f ca="1">IFERROR(__xludf.dummyfunction("iferror(1000+INT(($N$4-(index(split(G69,"":""),1)*60+index(split(G69,"":""),2 )))/0.2+1)*$N$5,"""")"),"")</f>
        <v/>
      </c>
      <c r="I69" s="16" t="str">
        <f t="shared" ca="1" si="10"/>
        <v/>
      </c>
      <c r="J69" s="16" t="str">
        <f t="shared" si="11"/>
        <v/>
      </c>
      <c r="K69" s="16" t="str">
        <f t="shared" si="12"/>
        <v/>
      </c>
      <c r="L69" s="16"/>
    </row>
    <row r="70" spans="1:12" ht="14.5" x14ac:dyDescent="0.35">
      <c r="A70" s="16"/>
      <c r="B70" s="16"/>
      <c r="C70" s="16"/>
      <c r="D70" s="16"/>
      <c r="E70" s="22" t="str">
        <f ca="1">IFERROR(__xludf.dummyfunction("iferror(1000+INT(($N$2-(index(split(D70,"":""),1)*60+index(split(D70,"":""),2 )))/0.2+1)*$N$3,"""")"),"")</f>
        <v/>
      </c>
      <c r="F70" s="16" t="str">
        <f t="shared" ca="1" si="9"/>
        <v/>
      </c>
      <c r="G70" s="16"/>
      <c r="H70" s="22" t="str">
        <f ca="1">IFERROR(__xludf.dummyfunction("iferror(1000+INT(($N$4-(index(split(G70,"":""),1)*60+index(split(G70,"":""),2 )))/0.2+1)*$N$5,"""")"),"")</f>
        <v/>
      </c>
      <c r="I70" s="16" t="str">
        <f t="shared" ca="1" si="10"/>
        <v/>
      </c>
      <c r="J70" s="16" t="str">
        <f t="shared" si="11"/>
        <v/>
      </c>
      <c r="K70" s="16" t="str">
        <f t="shared" si="12"/>
        <v/>
      </c>
      <c r="L70" s="16"/>
    </row>
    <row r="71" spans="1:12" ht="14.5" x14ac:dyDescent="0.35">
      <c r="A71" s="16"/>
      <c r="B71" s="16"/>
      <c r="C71" s="16"/>
      <c r="D71" s="16"/>
      <c r="E71" s="22" t="str">
        <f ca="1">IFERROR(__xludf.dummyfunction("iferror(1000+INT(($N$2-(index(split(D71,"":""),1)*60+index(split(D71,"":""),2 )))/0.2+1)*$N$3,"""")"),"")</f>
        <v/>
      </c>
      <c r="F71" s="16" t="str">
        <f t="shared" ca="1" si="9"/>
        <v/>
      </c>
      <c r="G71" s="16"/>
      <c r="H71" s="22" t="str">
        <f ca="1">IFERROR(__xludf.dummyfunction("iferror(1000+INT(($N$4-(index(split(G71,"":""),1)*60+index(split(G71,"":""),2 )))/0.2+1)*$N$5,"""")"),"")</f>
        <v/>
      </c>
      <c r="I71" s="16" t="str">
        <f t="shared" ca="1" si="10"/>
        <v/>
      </c>
      <c r="J71" s="16" t="str">
        <f t="shared" si="11"/>
        <v/>
      </c>
      <c r="K71" s="16" t="str">
        <f t="shared" si="12"/>
        <v/>
      </c>
      <c r="L71" s="16"/>
    </row>
    <row r="72" spans="1:12" ht="14.5" x14ac:dyDescent="0.35">
      <c r="A72" s="16"/>
      <c r="B72" s="16"/>
      <c r="C72" s="16"/>
      <c r="D72" s="16"/>
      <c r="E72" s="22" t="str">
        <f ca="1">IFERROR(__xludf.dummyfunction("iferror(1000+INT(($N$2-(index(split(D72,"":""),1)*60+index(split(D72,"":""),2 )))/0.2+1)*$N$3,"""")"),"")</f>
        <v/>
      </c>
      <c r="F72" s="16" t="str">
        <f t="shared" ca="1" si="9"/>
        <v/>
      </c>
      <c r="G72" s="16"/>
      <c r="H72" s="22" t="str">
        <f ca="1">IFERROR(__xludf.dummyfunction("iferror(1000+INT(($N$4-(index(split(G72,"":""),1)*60+index(split(G72,"":""),2 )))/0.2+1)*$N$5,"""")"),"")</f>
        <v/>
      </c>
      <c r="I72" s="16" t="str">
        <f t="shared" ca="1" si="10"/>
        <v/>
      </c>
      <c r="J72" s="16" t="str">
        <f t="shared" si="11"/>
        <v/>
      </c>
      <c r="K72" s="16" t="str">
        <f t="shared" si="12"/>
        <v/>
      </c>
      <c r="L72" s="16"/>
    </row>
    <row r="73" spans="1:12" ht="14.5" x14ac:dyDescent="0.35">
      <c r="A73" s="16"/>
      <c r="B73" s="16"/>
      <c r="C73" s="16"/>
      <c r="D73" s="16"/>
      <c r="E73" s="22" t="str">
        <f ca="1">IFERROR(__xludf.dummyfunction("iferror(1000+INT(($N$2-(index(split(D73,"":""),1)*60+index(split(D73,"":""),2 )))/0.2+1)*$N$3,"""")"),"")</f>
        <v/>
      </c>
      <c r="F73" s="16" t="str">
        <f t="shared" ca="1" si="9"/>
        <v/>
      </c>
      <c r="G73" s="16"/>
      <c r="H73" s="22" t="str">
        <f ca="1">IFERROR(__xludf.dummyfunction("iferror(1000+INT(($N$4-(index(split(G73,"":""),1)*60+index(split(G73,"":""),2 )))/0.2+1)*$N$5,"""")"),"")</f>
        <v/>
      </c>
      <c r="I73" s="16" t="str">
        <f t="shared" ca="1" si="10"/>
        <v/>
      </c>
      <c r="J73" s="16" t="str">
        <f t="shared" si="11"/>
        <v/>
      </c>
      <c r="K73" s="16" t="str">
        <f t="shared" si="12"/>
        <v/>
      </c>
      <c r="L73" s="16"/>
    </row>
    <row r="74" spans="1:12" ht="14.5" x14ac:dyDescent="0.35">
      <c r="A74" s="16"/>
      <c r="B74" s="16"/>
      <c r="C74" s="16"/>
      <c r="D74" s="16"/>
      <c r="E74" s="22" t="str">
        <f ca="1">IFERROR(__xludf.dummyfunction("iferror(1000+INT(($N$2-(index(split(D74,"":""),1)*60+index(split(D74,"":""),2 )))/0.2+1)*$N$3,"""")"),"")</f>
        <v/>
      </c>
      <c r="F74" s="16" t="str">
        <f t="shared" ca="1" si="9"/>
        <v/>
      </c>
      <c r="G74" s="16"/>
      <c r="H74" s="22" t="str">
        <f ca="1">IFERROR(__xludf.dummyfunction("iferror(1000+INT(($N$4-(index(split(G74,"":""),1)*60+index(split(G74,"":""),2 )))/0.2+1)*$N$5,"""")"),"")</f>
        <v/>
      </c>
      <c r="I74" s="16" t="str">
        <f t="shared" ca="1" si="10"/>
        <v/>
      </c>
      <c r="J74" s="16" t="str">
        <f t="shared" si="11"/>
        <v/>
      </c>
      <c r="K74" s="16" t="str">
        <f t="shared" si="12"/>
        <v/>
      </c>
      <c r="L74" s="16"/>
    </row>
    <row r="75" spans="1:12" ht="14.5" x14ac:dyDescent="0.35">
      <c r="A75" s="16"/>
      <c r="B75" s="16"/>
      <c r="C75" s="16"/>
      <c r="D75" s="16"/>
      <c r="E75" s="22" t="str">
        <f ca="1">IFERROR(__xludf.dummyfunction("iferror(1000+INT(($N$2-(index(split(D75,"":""),1)*60+index(split(D75,"":""),2 )))/0.2+1)*$N$3,"""")"),"")</f>
        <v/>
      </c>
      <c r="F75" s="16" t="str">
        <f t="shared" ca="1" si="9"/>
        <v/>
      </c>
      <c r="G75" s="16"/>
      <c r="H75" s="22" t="str">
        <f ca="1">IFERROR(__xludf.dummyfunction("iferror(1000+INT(($N$4-(index(split(G75,"":""),1)*60+index(split(G75,"":""),2 )))/0.2+1)*$N$5,"""")"),"")</f>
        <v/>
      </c>
      <c r="I75" s="16" t="str">
        <f t="shared" ca="1" si="10"/>
        <v/>
      </c>
      <c r="J75" s="16" t="str">
        <f t="shared" si="11"/>
        <v/>
      </c>
      <c r="K75" s="16" t="str">
        <f t="shared" si="12"/>
        <v/>
      </c>
      <c r="L75" s="16"/>
    </row>
    <row r="76" spans="1:12" ht="14.5" x14ac:dyDescent="0.35">
      <c r="A76" s="16"/>
      <c r="B76" s="16"/>
      <c r="C76" s="16"/>
      <c r="D76" s="16"/>
      <c r="E76" s="22" t="str">
        <f ca="1">IFERROR(__xludf.dummyfunction("iferror(1000+INT(($N$2-(index(split(D76,"":""),1)*60+index(split(D76,"":""),2 )))/0.2+1)*$N$3,"""")"),"")</f>
        <v/>
      </c>
      <c r="F76" s="16" t="str">
        <f t="shared" ca="1" si="9"/>
        <v/>
      </c>
      <c r="G76" s="16"/>
      <c r="H76" s="22" t="str">
        <f ca="1">IFERROR(__xludf.dummyfunction("iferror(1000+INT(($N$4-(index(split(G76,"":""),1)*60+index(split(G76,"":""),2 )))/0.2+1)*$N$5,"""")"),"")</f>
        <v/>
      </c>
      <c r="I76" s="16" t="str">
        <f t="shared" ca="1" si="10"/>
        <v/>
      </c>
      <c r="J76" s="16" t="str">
        <f t="shared" si="11"/>
        <v/>
      </c>
      <c r="K76" s="16" t="str">
        <f t="shared" si="12"/>
        <v/>
      </c>
      <c r="L76" s="16"/>
    </row>
    <row r="77" spans="1:12" ht="14.5" x14ac:dyDescent="0.35">
      <c r="A77" s="16"/>
      <c r="B77" s="16"/>
      <c r="C77" s="16"/>
      <c r="D77" s="16"/>
      <c r="E77" s="22" t="str">
        <f ca="1">IFERROR(__xludf.dummyfunction("iferror(1000+INT(($N$2-(index(split(D77,"":""),1)*60+index(split(D77,"":""),2 )))/0.2+1)*$N$3,"""")"),"")</f>
        <v/>
      </c>
      <c r="F77" s="16" t="str">
        <f t="shared" ca="1" si="9"/>
        <v/>
      </c>
      <c r="G77" s="16"/>
      <c r="H77" s="22" t="str">
        <f ca="1">IFERROR(__xludf.dummyfunction("iferror(1000+INT(($N$4-(index(split(G77,"":""),1)*60+index(split(G77,"":""),2 )))/0.2+1)*$N$5,"""")"),"")</f>
        <v/>
      </c>
      <c r="I77" s="16" t="str">
        <f t="shared" ca="1" si="10"/>
        <v/>
      </c>
      <c r="J77" s="16" t="str">
        <f t="shared" si="11"/>
        <v/>
      </c>
      <c r="K77" s="16" t="str">
        <f t="shared" si="12"/>
        <v/>
      </c>
      <c r="L77" s="16"/>
    </row>
    <row r="78" spans="1:12" ht="14.5" x14ac:dyDescent="0.35">
      <c r="A78" s="16"/>
      <c r="B78" s="16"/>
      <c r="C78" s="16"/>
      <c r="D78" s="16"/>
      <c r="E78" s="22" t="str">
        <f ca="1">IFERROR(__xludf.dummyfunction("iferror(1000+INT(($N$2-(index(split(D78,"":""),1)*60+index(split(D78,"":""),2 )))/0.2+1)*$N$3,"""")"),"")</f>
        <v/>
      </c>
      <c r="F78" s="16" t="str">
        <f t="shared" ca="1" si="9"/>
        <v/>
      </c>
      <c r="G78" s="16"/>
      <c r="H78" s="22" t="str">
        <f ca="1">IFERROR(__xludf.dummyfunction("iferror(1000+INT(($N$4-(index(split(G78,"":""),1)*60+index(split(G78,"":""),2 )))/0.2+1)*$N$5,"""")"),"")</f>
        <v/>
      </c>
      <c r="I78" s="16" t="str">
        <f t="shared" ca="1" si="10"/>
        <v/>
      </c>
      <c r="J78" s="16" t="str">
        <f t="shared" si="11"/>
        <v/>
      </c>
      <c r="K78" s="16" t="str">
        <f t="shared" si="12"/>
        <v/>
      </c>
      <c r="L78" s="16"/>
    </row>
    <row r="79" spans="1:12" ht="14.5" x14ac:dyDescent="0.35">
      <c r="A79" s="16"/>
      <c r="B79" s="16"/>
      <c r="C79" s="16"/>
      <c r="D79" s="16"/>
      <c r="E79" s="22" t="str">
        <f ca="1">IFERROR(__xludf.dummyfunction("iferror(1000+INT(($N$2-(index(split(D79,"":""),1)*60+index(split(D79,"":""),2 )))/0.2+1)*$N$3,"""")"),"")</f>
        <v/>
      </c>
      <c r="F79" s="16" t="str">
        <f t="shared" ca="1" si="9"/>
        <v/>
      </c>
      <c r="G79" s="16"/>
      <c r="H79" s="22" t="str">
        <f ca="1">IFERROR(__xludf.dummyfunction("iferror(1000+INT(($N$4-(index(split(G79,"":""),1)*60+index(split(G79,"":""),2 )))/0.2+1)*$N$5,"""")"),"")</f>
        <v/>
      </c>
      <c r="I79" s="16" t="str">
        <f t="shared" ca="1" si="10"/>
        <v/>
      </c>
      <c r="J79" s="16" t="str">
        <f t="shared" si="11"/>
        <v/>
      </c>
      <c r="K79" s="16" t="str">
        <f t="shared" si="12"/>
        <v/>
      </c>
      <c r="L79" s="16"/>
    </row>
    <row r="80" spans="1:12" ht="14.5" x14ac:dyDescent="0.35">
      <c r="A80" s="16"/>
      <c r="B80" s="16"/>
      <c r="C80" s="16"/>
      <c r="D80" s="16"/>
      <c r="E80" s="22" t="str">
        <f ca="1">IFERROR(__xludf.dummyfunction("iferror(1000+INT(($N$2-(index(split(D80,"":""),1)*60+index(split(D80,"":""),2 )))/0.2+1)*$N$3,"""")"),"")</f>
        <v/>
      </c>
      <c r="F80" s="16" t="str">
        <f t="shared" ca="1" si="9"/>
        <v/>
      </c>
      <c r="G80" s="16"/>
      <c r="H80" s="22" t="str">
        <f ca="1">IFERROR(__xludf.dummyfunction("iferror(1000+INT(($N$4-(index(split(G80,"":""),1)*60+index(split(G80,"":""),2 )))/0.2+1)*$N$5,"""")"),"")</f>
        <v/>
      </c>
      <c r="I80" s="16" t="str">
        <f t="shared" ca="1" si="10"/>
        <v/>
      </c>
      <c r="J80" s="16" t="str">
        <f t="shared" si="11"/>
        <v/>
      </c>
      <c r="K80" s="16" t="str">
        <f t="shared" si="12"/>
        <v/>
      </c>
      <c r="L80" s="16"/>
    </row>
    <row r="81" spans="1:12" ht="14.5" x14ac:dyDescent="0.35">
      <c r="A81" s="16"/>
      <c r="B81" s="16"/>
      <c r="C81" s="16"/>
      <c r="D81" s="16"/>
      <c r="E81" s="22" t="str">
        <f ca="1">IFERROR(__xludf.dummyfunction("iferror(1000+INT(($N$2-(index(split(D81,"":""),1)*60+index(split(D81,"":""),2 )))/0.2+1)*$N$3,"""")"),"")</f>
        <v/>
      </c>
      <c r="F81" s="16" t="str">
        <f t="shared" ca="1" si="9"/>
        <v/>
      </c>
      <c r="G81" s="16"/>
      <c r="H81" s="22" t="str">
        <f ca="1">IFERROR(__xludf.dummyfunction("iferror(1000+INT(($N$4-(index(split(G81,"":""),1)*60+index(split(G81,"":""),2 )))/0.2+1)*$N$5,"""")"),"")</f>
        <v/>
      </c>
      <c r="I81" s="16" t="str">
        <f t="shared" ca="1" si="10"/>
        <v/>
      </c>
      <c r="J81" s="16" t="str">
        <f t="shared" si="11"/>
        <v/>
      </c>
      <c r="K81" s="16" t="str">
        <f t="shared" si="12"/>
        <v/>
      </c>
      <c r="L81" s="16"/>
    </row>
    <row r="82" spans="1:12" ht="14.5" x14ac:dyDescent="0.35">
      <c r="A82" s="16"/>
      <c r="B82" s="16"/>
      <c r="C82" s="16"/>
      <c r="D82" s="16"/>
      <c r="E82" s="22" t="str">
        <f ca="1">IFERROR(__xludf.dummyfunction("iferror(1000+INT(($N$2-(index(split(D82,"":""),1)*60+index(split(D82,"":""),2 )))/0.2+1)*$N$3,"""")"),"")</f>
        <v/>
      </c>
      <c r="F82" s="16" t="str">
        <f t="shared" ca="1" si="9"/>
        <v/>
      </c>
      <c r="G82" s="16"/>
      <c r="H82" s="22" t="str">
        <f ca="1">IFERROR(__xludf.dummyfunction("iferror(1000+INT(($N$4-(index(split(G82,"":""),1)*60+index(split(G82,"":""),2 )))/0.2+1)*$N$5,"""")"),"")</f>
        <v/>
      </c>
      <c r="I82" s="16" t="str">
        <f t="shared" ca="1" si="10"/>
        <v/>
      </c>
      <c r="J82" s="16" t="str">
        <f t="shared" si="11"/>
        <v/>
      </c>
      <c r="K82" s="16" t="str">
        <f t="shared" si="12"/>
        <v/>
      </c>
      <c r="L82" s="16"/>
    </row>
    <row r="83" spans="1:12" ht="14.5" x14ac:dyDescent="0.35">
      <c r="A83" s="16"/>
      <c r="B83" s="16"/>
      <c r="C83" s="16"/>
      <c r="D83" s="16"/>
      <c r="E83" s="22" t="str">
        <f ca="1">IFERROR(__xludf.dummyfunction("iferror(1000+INT(($N$2-(index(split(D83,"":""),1)*60+index(split(D83,"":""),2 )))/0.2+1)*$N$3,"""")"),"")</f>
        <v/>
      </c>
      <c r="F83" s="16" t="str">
        <f t="shared" ca="1" si="9"/>
        <v/>
      </c>
      <c r="G83" s="16"/>
      <c r="H83" s="22" t="str">
        <f ca="1">IFERROR(__xludf.dummyfunction("iferror(1000+INT(($N$4-(index(split(G83,"":""),1)*60+index(split(G83,"":""),2 )))/0.2+1)*$N$5,"""")"),"")</f>
        <v/>
      </c>
      <c r="I83" s="16" t="str">
        <f t="shared" ca="1" si="10"/>
        <v/>
      </c>
      <c r="J83" s="16" t="str">
        <f t="shared" si="11"/>
        <v/>
      </c>
      <c r="K83" s="16" t="str">
        <f t="shared" si="12"/>
        <v/>
      </c>
      <c r="L83" s="16"/>
    </row>
    <row r="84" spans="1:12" ht="14.5" x14ac:dyDescent="0.35">
      <c r="A84" s="16"/>
      <c r="B84" s="16"/>
      <c r="C84" s="16"/>
      <c r="D84" s="16"/>
      <c r="E84" s="22" t="str">
        <f ca="1">IFERROR(__xludf.dummyfunction("iferror(1000+INT(($N$2-(index(split(D84,"":""),1)*60+index(split(D84,"":""),2 )))/0.2+1)*$N$3,"""")"),"")</f>
        <v/>
      </c>
      <c r="F84" s="16" t="str">
        <f t="shared" ca="1" si="9"/>
        <v/>
      </c>
      <c r="G84" s="16"/>
      <c r="H84" s="22" t="str">
        <f ca="1">IFERROR(__xludf.dummyfunction("iferror(1000+INT(($N$4-(index(split(G84,"":""),1)*60+index(split(G84,"":""),2 )))/0.2+1)*$N$5,"""")"),"")</f>
        <v/>
      </c>
      <c r="I84" s="16" t="str">
        <f t="shared" ca="1" si="10"/>
        <v/>
      </c>
      <c r="J84" s="16" t="str">
        <f t="shared" si="11"/>
        <v/>
      </c>
      <c r="K84" s="16" t="str">
        <f t="shared" si="12"/>
        <v/>
      </c>
      <c r="L84" s="16"/>
    </row>
    <row r="85" spans="1:12" ht="14.5" x14ac:dyDescent="0.35">
      <c r="A85" s="16"/>
      <c r="B85" s="16"/>
      <c r="C85" s="16"/>
      <c r="D85" s="16"/>
      <c r="E85" s="22" t="str">
        <f ca="1">IFERROR(__xludf.dummyfunction("iferror(1000+INT(($N$2-(index(split(D85,"":""),1)*60+index(split(D85,"":""),2 )))/0.2+1)*$N$3,"""")"),"")</f>
        <v/>
      </c>
      <c r="F85" s="16" t="str">
        <f t="shared" ca="1" si="9"/>
        <v/>
      </c>
      <c r="G85" s="16"/>
      <c r="H85" s="22" t="str">
        <f ca="1">IFERROR(__xludf.dummyfunction("iferror(1000+INT(($N$4-(index(split(G85,"":""),1)*60+index(split(G85,"":""),2 )))/0.2+1)*$N$5,"""")"),"")</f>
        <v/>
      </c>
      <c r="I85" s="16" t="str">
        <f t="shared" ca="1" si="10"/>
        <v/>
      </c>
      <c r="J85" s="16" t="str">
        <f t="shared" si="11"/>
        <v/>
      </c>
      <c r="K85" s="16" t="str">
        <f t="shared" si="12"/>
        <v/>
      </c>
      <c r="L85" s="16"/>
    </row>
    <row r="86" spans="1:12" ht="14.5" x14ac:dyDescent="0.35">
      <c r="A86" s="16"/>
      <c r="B86" s="16"/>
      <c r="C86" s="16"/>
      <c r="D86" s="16"/>
      <c r="E86" s="22" t="str">
        <f ca="1">IFERROR(__xludf.dummyfunction("iferror(1000+INT(($N$2-(index(split(D86,"":""),1)*60+index(split(D86,"":""),2 )))/0.2+1)*$N$3,"""")"),"")</f>
        <v/>
      </c>
      <c r="F86" s="16" t="str">
        <f t="shared" ca="1" si="9"/>
        <v/>
      </c>
      <c r="G86" s="16"/>
      <c r="H86" s="22" t="str">
        <f ca="1">IFERROR(__xludf.dummyfunction("iferror(1000+INT(($N$4-(index(split(G86,"":""),1)*60+index(split(G86,"":""),2 )))/0.2+1)*$N$5,"""")"),"")</f>
        <v/>
      </c>
      <c r="I86" s="16" t="str">
        <f t="shared" ca="1" si="10"/>
        <v/>
      </c>
      <c r="J86" s="16" t="str">
        <f t="shared" si="11"/>
        <v/>
      </c>
      <c r="K86" s="16" t="str">
        <f t="shared" si="12"/>
        <v/>
      </c>
      <c r="L86" s="16"/>
    </row>
    <row r="87" spans="1:12" ht="14.5" x14ac:dyDescent="0.35">
      <c r="A87" s="16"/>
      <c r="B87" s="16"/>
      <c r="C87" s="16"/>
      <c r="D87" s="16"/>
      <c r="E87" s="22" t="str">
        <f ca="1">IFERROR(__xludf.dummyfunction("iferror(1000+INT(($N$2-(index(split(D87,"":""),1)*60+index(split(D87,"":""),2 )))/0.2+1)*$N$3,"""")"),"")</f>
        <v/>
      </c>
      <c r="F87" s="16" t="str">
        <f t="shared" ca="1" si="9"/>
        <v/>
      </c>
      <c r="G87" s="16"/>
      <c r="H87" s="22" t="str">
        <f ca="1">IFERROR(__xludf.dummyfunction("iferror(1000+INT(($N$4-(index(split(G87,"":""),1)*60+index(split(G87,"":""),2 )))/0.2+1)*$N$5,"""")"),"")</f>
        <v/>
      </c>
      <c r="I87" s="16" t="str">
        <f t="shared" ca="1" si="10"/>
        <v/>
      </c>
      <c r="J87" s="16" t="str">
        <f t="shared" si="11"/>
        <v/>
      </c>
      <c r="K87" s="16" t="str">
        <f t="shared" si="12"/>
        <v/>
      </c>
      <c r="L87" s="16"/>
    </row>
    <row r="88" spans="1:12" ht="14.5" x14ac:dyDescent="0.35">
      <c r="A88" s="16"/>
      <c r="B88" s="16"/>
      <c r="C88" s="16"/>
      <c r="D88" s="16"/>
      <c r="E88" s="22" t="str">
        <f ca="1">IFERROR(__xludf.dummyfunction("iferror(1000+INT(($N$2-(index(split(D88,"":""),1)*60+index(split(D88,"":""),2 )))/0.2+1)*$N$3,"""")"),"")</f>
        <v/>
      </c>
      <c r="F88" s="16" t="str">
        <f t="shared" ca="1" si="9"/>
        <v/>
      </c>
      <c r="G88" s="16"/>
      <c r="H88" s="22" t="str">
        <f ca="1">IFERROR(__xludf.dummyfunction("iferror(1000+INT(($N$4-(index(split(G88,"":""),1)*60+index(split(G88,"":""),2 )))/0.2+1)*$N$5,"""")"),"")</f>
        <v/>
      </c>
      <c r="I88" s="16" t="str">
        <f t="shared" ca="1" si="10"/>
        <v/>
      </c>
      <c r="J88" s="16" t="str">
        <f t="shared" si="11"/>
        <v/>
      </c>
      <c r="K88" s="16" t="str">
        <f t="shared" si="12"/>
        <v/>
      </c>
      <c r="L88" s="16"/>
    </row>
    <row r="89" spans="1:12" ht="14.5" x14ac:dyDescent="0.35">
      <c r="A89" s="16"/>
      <c r="B89" s="16"/>
      <c r="C89" s="16"/>
      <c r="D89" s="16"/>
      <c r="E89" s="22" t="str">
        <f ca="1">IFERROR(__xludf.dummyfunction("iferror(1000+INT(($N$2-(index(split(D89,"":""),1)*60+index(split(D89,"":""),2 )))/0.2+1)*$N$3,"""")"),"")</f>
        <v/>
      </c>
      <c r="F89" s="16" t="str">
        <f t="shared" ca="1" si="9"/>
        <v/>
      </c>
      <c r="G89" s="16"/>
      <c r="H89" s="22" t="str">
        <f ca="1">IFERROR(__xludf.dummyfunction("iferror(1000+INT(($N$4-(index(split(G89,"":""),1)*60+index(split(G89,"":""),2 )))/0.2+1)*$N$5,"""")"),"")</f>
        <v/>
      </c>
      <c r="I89" s="16" t="str">
        <f t="shared" ca="1" si="10"/>
        <v/>
      </c>
      <c r="J89" s="16" t="str">
        <f t="shared" si="11"/>
        <v/>
      </c>
      <c r="K89" s="16" t="str">
        <f t="shared" si="12"/>
        <v/>
      </c>
      <c r="L89" s="16"/>
    </row>
    <row r="90" spans="1:12" ht="14.5" x14ac:dyDescent="0.35">
      <c r="A90" s="16"/>
      <c r="B90" s="16"/>
      <c r="C90" s="16"/>
      <c r="D90" s="16"/>
      <c r="E90" s="22" t="str">
        <f ca="1">IFERROR(__xludf.dummyfunction("iferror(1000+INT(($N$2-(index(split(D90,"":""),1)*60+index(split(D90,"":""),2 )))/0.2+1)*$N$3,"""")"),"")</f>
        <v/>
      </c>
      <c r="F90" s="16" t="str">
        <f t="shared" ca="1" si="9"/>
        <v/>
      </c>
      <c r="G90" s="16"/>
      <c r="H90" s="22" t="str">
        <f ca="1">IFERROR(__xludf.dummyfunction("iferror(1000+INT(($N$4-(index(split(G90,"":""),1)*60+index(split(G90,"":""),2 )))/0.2+1)*$N$5,"""")"),"")</f>
        <v/>
      </c>
      <c r="I90" s="16" t="str">
        <f t="shared" ca="1" si="10"/>
        <v/>
      </c>
      <c r="J90" s="16" t="str">
        <f t="shared" si="11"/>
        <v/>
      </c>
      <c r="K90" s="16" t="str">
        <f t="shared" si="12"/>
        <v/>
      </c>
      <c r="L90" s="16"/>
    </row>
    <row r="91" spans="1:12" ht="14.5" x14ac:dyDescent="0.35">
      <c r="A91" s="16"/>
      <c r="B91" s="16"/>
      <c r="C91" s="16"/>
      <c r="D91" s="16"/>
      <c r="E91" s="22" t="str">
        <f ca="1">IFERROR(__xludf.dummyfunction("iferror(1000+INT(($N$2-(index(split(D91,"":""),1)*60+index(split(D91,"":""),2 )))/0.2+1)*$N$3,"""")"),"")</f>
        <v/>
      </c>
      <c r="F91" s="16" t="str">
        <f t="shared" ca="1" si="9"/>
        <v/>
      </c>
      <c r="G91" s="16"/>
      <c r="H91" s="22" t="str">
        <f ca="1">IFERROR(__xludf.dummyfunction("iferror(1000+INT(($N$4-(index(split(G91,"":""),1)*60+index(split(G91,"":""),2 )))/0.2+1)*$N$5,"""")"),"")</f>
        <v/>
      </c>
      <c r="I91" s="16" t="str">
        <f t="shared" ca="1" si="10"/>
        <v/>
      </c>
      <c r="J91" s="16" t="str">
        <f t="shared" si="11"/>
        <v/>
      </c>
      <c r="K91" s="16" t="str">
        <f t="shared" si="12"/>
        <v/>
      </c>
      <c r="L91" s="16"/>
    </row>
    <row r="92" spans="1:12" ht="14.5" x14ac:dyDescent="0.35">
      <c r="A92" s="16"/>
      <c r="B92" s="16"/>
      <c r="C92" s="16"/>
      <c r="D92" s="16"/>
      <c r="E92" s="22" t="str">
        <f ca="1">IFERROR(__xludf.dummyfunction("iferror(1000+INT(($N$2-(index(split(D92,"":""),1)*60+index(split(D92,"":""),2 )))/0.2+1)*$N$3,"""")"),"")</f>
        <v/>
      </c>
      <c r="F92" s="16" t="str">
        <f t="shared" ca="1" si="9"/>
        <v/>
      </c>
      <c r="G92" s="16"/>
      <c r="H92" s="22" t="str">
        <f ca="1">IFERROR(__xludf.dummyfunction("iferror(1000+INT(($N$4-(index(split(G92,"":""),1)*60+index(split(G92,"":""),2 )))/0.2+1)*$N$5,"""")"),"")</f>
        <v/>
      </c>
      <c r="I92" s="16" t="str">
        <f t="shared" ca="1" si="10"/>
        <v/>
      </c>
      <c r="J92" s="16" t="str">
        <f t="shared" si="11"/>
        <v/>
      </c>
      <c r="K92" s="16" t="str">
        <f t="shared" si="12"/>
        <v/>
      </c>
      <c r="L92" s="16"/>
    </row>
    <row r="93" spans="1:12" ht="14.5" x14ac:dyDescent="0.35">
      <c r="A93" s="16"/>
      <c r="B93" s="16"/>
      <c r="C93" s="16"/>
      <c r="D93" s="16"/>
      <c r="E93" s="22" t="str">
        <f ca="1">IFERROR(__xludf.dummyfunction("iferror(1000+INT(($N$2-(index(split(D93,"":""),1)*60+index(split(D93,"":""),2 )))/0.2+1)*$N$3,"""")"),"")</f>
        <v/>
      </c>
      <c r="F93" s="16" t="str">
        <f t="shared" ca="1" si="9"/>
        <v/>
      </c>
      <c r="G93" s="16"/>
      <c r="H93" s="22" t="str">
        <f ca="1">IFERROR(__xludf.dummyfunction("iferror(1000+INT(($N$4-(index(split(G93,"":""),1)*60+index(split(G93,"":""),2 )))/0.2+1)*$N$5,"""")"),"")</f>
        <v/>
      </c>
      <c r="I93" s="16" t="str">
        <f t="shared" ca="1" si="10"/>
        <v/>
      </c>
      <c r="J93" s="16" t="str">
        <f t="shared" si="11"/>
        <v/>
      </c>
      <c r="K93" s="16" t="str">
        <f t="shared" si="12"/>
        <v/>
      </c>
      <c r="L93" s="16"/>
    </row>
    <row r="94" spans="1:12" ht="14.5" x14ac:dyDescent="0.35">
      <c r="A94" s="16"/>
      <c r="B94" s="16"/>
      <c r="C94" s="16"/>
      <c r="D94" s="16"/>
      <c r="E94" s="22" t="str">
        <f ca="1">IFERROR(__xludf.dummyfunction("iferror(1000+INT(($N$2-(index(split(D94,"":""),1)*60+index(split(D94,"":""),2 )))/0.2+1)*$N$3,"""")"),"")</f>
        <v/>
      </c>
      <c r="F94" s="16" t="str">
        <f t="shared" ca="1" si="9"/>
        <v/>
      </c>
      <c r="G94" s="16"/>
      <c r="H94" s="22" t="str">
        <f ca="1">IFERROR(__xludf.dummyfunction("iferror(1000+INT(($N$4-(index(split(G94,"":""),1)*60+index(split(G94,"":""),2 )))/0.2+1)*$N$5,"""")"),"")</f>
        <v/>
      </c>
      <c r="I94" s="16" t="str">
        <f t="shared" ca="1" si="10"/>
        <v/>
      </c>
      <c r="J94" s="16" t="str">
        <f t="shared" si="11"/>
        <v/>
      </c>
      <c r="K94" s="16" t="str">
        <f t="shared" si="12"/>
        <v/>
      </c>
      <c r="L94" s="16"/>
    </row>
    <row r="95" spans="1:12" ht="14.5" x14ac:dyDescent="0.35">
      <c r="A95" s="16"/>
      <c r="B95" s="16"/>
      <c r="C95" s="16"/>
      <c r="D95" s="16"/>
      <c r="E95" s="22" t="str">
        <f ca="1">IFERROR(__xludf.dummyfunction("iferror(1000+INT(($N$2-(index(split(D95,"":""),1)*60+index(split(D95,"":""),2 )))/0.2+1)*$N$3,"""")"),"")</f>
        <v/>
      </c>
      <c r="F95" s="16" t="str">
        <f t="shared" ca="1" si="9"/>
        <v/>
      </c>
      <c r="G95" s="16"/>
      <c r="H95" s="22" t="str">
        <f ca="1">IFERROR(__xludf.dummyfunction("iferror(1000+INT(($N$4-(index(split(G95,"":""),1)*60+index(split(G95,"":""),2 )))/0.2+1)*$N$5,"""")"),"")</f>
        <v/>
      </c>
      <c r="I95" s="16" t="str">
        <f t="shared" ca="1" si="10"/>
        <v/>
      </c>
      <c r="J95" s="16" t="str">
        <f t="shared" si="11"/>
        <v/>
      </c>
      <c r="K95" s="16" t="str">
        <f t="shared" si="12"/>
        <v/>
      </c>
      <c r="L95" s="16"/>
    </row>
    <row r="96" spans="1:12" ht="14.5" x14ac:dyDescent="0.35">
      <c r="A96" s="16"/>
      <c r="B96" s="16"/>
      <c r="C96" s="16"/>
      <c r="D96" s="16"/>
      <c r="E96" s="22" t="str">
        <f ca="1">IFERROR(__xludf.dummyfunction("iferror(1000+INT(($N$2-(index(split(D96,"":""),1)*60+index(split(D96,"":""),2 )))/0.2+1)*$N$3,"""")"),"")</f>
        <v/>
      </c>
      <c r="F96" s="16" t="str">
        <f t="shared" ca="1" si="9"/>
        <v/>
      </c>
      <c r="G96" s="16"/>
      <c r="H96" s="22" t="str">
        <f ca="1">IFERROR(__xludf.dummyfunction("iferror(1000+INT(($N$4-(index(split(G96,"":""),1)*60+index(split(G96,"":""),2 )))/0.2+1)*$N$5,"""")"),"")</f>
        <v/>
      </c>
      <c r="I96" s="16" t="str">
        <f t="shared" ca="1" si="10"/>
        <v/>
      </c>
      <c r="J96" s="16" t="str">
        <f t="shared" si="11"/>
        <v/>
      </c>
      <c r="K96" s="16" t="str">
        <f t="shared" si="12"/>
        <v/>
      </c>
      <c r="L96" s="16"/>
    </row>
    <row r="97" spans="1:12" ht="14.5" x14ac:dyDescent="0.35">
      <c r="A97" s="16"/>
      <c r="B97" s="16"/>
      <c r="C97" s="16"/>
      <c r="D97" s="16"/>
      <c r="E97" s="22" t="str">
        <f ca="1">IFERROR(__xludf.dummyfunction("iferror(1000+INT(($N$2-(index(split(D97,"":""),1)*60+index(split(D97,"":""),2 )))/0.2+1)*$N$3,"""")"),"")</f>
        <v/>
      </c>
      <c r="F97" s="16" t="str">
        <f t="shared" ca="1" si="9"/>
        <v/>
      </c>
      <c r="G97" s="16"/>
      <c r="H97" s="22" t="str">
        <f ca="1">IFERROR(__xludf.dummyfunction("iferror(1000+INT(($N$4-(index(split(G97,"":""),1)*60+index(split(G97,"":""),2 )))/0.2+1)*$N$5,"""")"),"")</f>
        <v/>
      </c>
      <c r="I97" s="16" t="str">
        <f t="shared" ca="1" si="10"/>
        <v/>
      </c>
      <c r="J97" s="16" t="str">
        <f t="shared" si="11"/>
        <v/>
      </c>
      <c r="K97" s="16" t="str">
        <f t="shared" si="12"/>
        <v/>
      </c>
      <c r="L97" s="16"/>
    </row>
    <row r="98" spans="1:12" ht="14.5" x14ac:dyDescent="0.35">
      <c r="A98" s="16"/>
      <c r="B98" s="16"/>
      <c r="C98" s="16"/>
      <c r="D98" s="16"/>
      <c r="E98" s="22" t="str">
        <f ca="1">IFERROR(__xludf.dummyfunction("iferror(1000+INT(($N$2-(index(split(D98,"":""),1)*60+index(split(D98,"":""),2 )))/0.2+1)*$N$3,"""")"),"")</f>
        <v/>
      </c>
      <c r="F98" s="16" t="str">
        <f t="shared" ref="F98:F129" ca="1" si="13">IFERROR(_xlfn.RANK.EQ(E98,E:E),"")</f>
        <v/>
      </c>
      <c r="G98" s="16"/>
      <c r="H98" s="22" t="str">
        <f ca="1">IFERROR(__xludf.dummyfunction("iferror(1000+INT(($N$4-(index(split(G98,"":""),1)*60+index(split(G98,"":""),2 )))/0.2+1)*$N$5,"""")"),"")</f>
        <v/>
      </c>
      <c r="I98" s="16" t="str">
        <f t="shared" ref="I98:I129" ca="1" si="14">IFERROR(_xlfn.RANK.EQ(H98,H:H),"")</f>
        <v/>
      </c>
      <c r="J98" s="16" t="str">
        <f t="shared" si="11"/>
        <v/>
      </c>
      <c r="K98" s="16" t="str">
        <f t="shared" ref="K98:K129" si="15">IFERROR(_xlfn.RANK.EQ(J98,J:J),"")</f>
        <v/>
      </c>
      <c r="L98" s="16"/>
    </row>
    <row r="99" spans="1:12" ht="14.5" x14ac:dyDescent="0.35">
      <c r="A99" s="16"/>
      <c r="B99" s="16"/>
      <c r="C99" s="16"/>
      <c r="D99" s="16"/>
      <c r="E99" s="22" t="str">
        <f ca="1">IFERROR(__xludf.dummyfunction("iferror(1000+INT(($N$2-(index(split(D99,"":""),1)*60+index(split(D99,"":""),2 )))/0.2+1)*$N$3,"""")"),"")</f>
        <v/>
      </c>
      <c r="F99" s="16" t="str">
        <f t="shared" ca="1" si="13"/>
        <v/>
      </c>
      <c r="G99" s="16"/>
      <c r="H99" s="22" t="str">
        <f ca="1">IFERROR(__xludf.dummyfunction("iferror(1000+INT(($N$4-(index(split(G99,"":""),1)*60+index(split(G99,"":""),2 )))/0.2+1)*$N$5,"""")"),"")</f>
        <v/>
      </c>
      <c r="I99" s="16" t="str">
        <f t="shared" ca="1" si="14"/>
        <v/>
      </c>
      <c r="J99" s="16" t="str">
        <f t="shared" si="11"/>
        <v/>
      </c>
      <c r="K99" s="16" t="str">
        <f t="shared" si="15"/>
        <v/>
      </c>
      <c r="L99" s="16"/>
    </row>
    <row r="100" spans="1:12" ht="14.5" x14ac:dyDescent="0.35">
      <c r="A100" s="16"/>
      <c r="B100" s="16"/>
      <c r="C100" s="16"/>
      <c r="D100" s="16"/>
      <c r="E100" s="22" t="str">
        <f ca="1">IFERROR(__xludf.dummyfunction("iferror(1000+INT(($N$2-(index(split(D100,"":""),1)*60+index(split(D100,"":""),2 )))/0.2+1)*$N$3,"""")"),"")</f>
        <v/>
      </c>
      <c r="F100" s="16" t="str">
        <f t="shared" ca="1" si="13"/>
        <v/>
      </c>
      <c r="G100" s="16"/>
      <c r="H100" s="22" t="str">
        <f ca="1">IFERROR(__xludf.dummyfunction("iferror(1000+INT(($N$4-(index(split(G100,"":""),1)*60+index(split(G100,"":""),2 )))/0.2+1)*$N$5,"""")"),"")</f>
        <v/>
      </c>
      <c r="I100" s="16" t="str">
        <f t="shared" ca="1" si="14"/>
        <v/>
      </c>
      <c r="J100" s="16" t="str">
        <f t="shared" si="11"/>
        <v/>
      </c>
      <c r="K100" s="16" t="str">
        <f t="shared" si="15"/>
        <v/>
      </c>
      <c r="L100" s="16"/>
    </row>
    <row r="101" spans="1:12" ht="14.5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4.5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4.5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4.5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4.5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4.5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4.5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4.5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4.5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4.5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4.5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4.5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4.5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4.5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4.5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4.5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4.5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4.5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4.5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4.5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4.5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4.5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4.5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4.5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4.5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4.5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4.5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4.5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4.5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4.5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4.5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4.5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4.5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4.5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4.5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4.5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4.5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4.5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4.5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4.5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4.5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4.5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4.5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4.5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4.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4.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4.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4.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4.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4.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4.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4.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4.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4.5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4.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4.5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4.5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4.5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4.5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4.5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4.5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4.5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ht="14.5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4.5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ht="14.5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ht="14.5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4.5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4.5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5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4.5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4.5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4.5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4.5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4.5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4.5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4.5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4.5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4.5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4.5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4.5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4.5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4.5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4.5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4.5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4.5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4.5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4.5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4.5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4.5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4.5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4.5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4.5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4.5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4.5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4.5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4.5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4.5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4.5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4.5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4.5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4.5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4.5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4.5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4.5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4.5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4.5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4.5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4.5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4.5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4.5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4.5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4.5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4.5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4.5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4.5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4.5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4.5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4.5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4.5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4.5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4.5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4.5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4.5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4.5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4.5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4.5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4.5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4.5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4.5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4.5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4.5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4.5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4.5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5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4.5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4.5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4.5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4.5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4.5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4.5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4.5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4.5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4.5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4.5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4.5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4.5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4.5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4.5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4.5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4.5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4.5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4.5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4.5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4.5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4.5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4.5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4.5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4.5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4.5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4.5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4.5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4.5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4.5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4.5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4.5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4.5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4.5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4.5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4.5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4.5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4.5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4.5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4.5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4.5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4.5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4.5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4.5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4.5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4.5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4.5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4.5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4.5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4.5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4.5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4.5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4.5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4.5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4.5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4.5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4.5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4.5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4.5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4.5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4.5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4.5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4.5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4.5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4.5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4.5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4.5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4.5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4.5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4.5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4.5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4.5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4.5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4.5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4.5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4.5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4.5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4.5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4.5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4.5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4.5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4.5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4.5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4.5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4.5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4.5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4.5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4.5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4.5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4.5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4.5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4.5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4.5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4.5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4.5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4.5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4.5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4.5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4.5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4.5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4.5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4.5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4.5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4.5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4.5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4.5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4.5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4.5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4.5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4.5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4.5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4.5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4.5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4.5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4.5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4.5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4.5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4.5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4.5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4.5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4.5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4.5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4.5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4.5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4.5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4.5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4.5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4.5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4.5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4.5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4.5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4.5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4.5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4.5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4.5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4.5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4.5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4.5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4.5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4.5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4.5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4.5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4.5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4.5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4.5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4.5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ht="14.5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ht="14.5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ht="14.5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ht="14.5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ht="14.5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ht="14.5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ht="14.5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ht="14.5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ht="14.5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ht="14.5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ht="14.5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ht="14.5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ht="14.5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ht="14.5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ht="14.5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ht="14.5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ht="14.5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ht="14.5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ht="14.5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ht="14.5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ht="14.5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ht="14.5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ht="14.5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ht="14.5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ht="14.5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ht="14.5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ht="14.5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ht="14.5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ht="14.5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ht="14.5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ht="14.5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ht="14.5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ht="14.5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ht="14.5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ht="14.5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ht="14.5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ht="14.5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ht="14.5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ht="14.5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ht="14.5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ht="14.5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ht="14.5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ht="14.5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ht="14.5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ht="14.5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ht="14.5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ht="14.5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ht="14.5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ht="14.5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ht="14.5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ht="14.5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ht="14.5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ht="14.5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ht="14.5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ht="14.5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ht="14.5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ht="14.5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ht="14.5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 ht="14.5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 ht="14.5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 ht="14.5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 ht="14.5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 ht="14.5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 ht="14.5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 ht="14.5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 ht="14.5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 ht="14.5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 ht="14.5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 ht="14.5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 ht="14.5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 ht="14.5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 ht="14.5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 ht="14.5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 ht="14.5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 ht="14.5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 ht="14.5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 ht="14.5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 ht="14.5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 ht="14.5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 ht="14.5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 ht="14.5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 ht="14.5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 ht="14.5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 ht="14.5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 ht="14.5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 ht="14.5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 ht="14.5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 ht="14.5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 ht="14.5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 ht="14.5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 ht="14.5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 ht="14.5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 ht="14.5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 ht="14.5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 ht="14.5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 ht="14.5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 ht="14.5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 ht="14.5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 ht="14.5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 ht="14.5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 ht="14.5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 ht="14.5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 ht="14.5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 ht="14.5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 ht="14.5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 ht="14.5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 ht="14.5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 ht="14.5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 ht="14.5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 ht="14.5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 ht="14.5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 ht="14.5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 ht="14.5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 ht="14.5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 ht="14.5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 ht="14.5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 ht="14.5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 ht="14.5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 ht="14.5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 ht="14.5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 ht="14.5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 ht="14.5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 ht="14.5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 ht="14.5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 ht="14.5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 ht="14.5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 ht="14.5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 ht="14.5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 ht="14.5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 ht="14.5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 ht="14.5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 ht="14.5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 ht="14.5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 ht="14.5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 ht="14.5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 ht="14.5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 ht="14.5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 ht="14.5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 ht="14.5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 ht="14.5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 ht="14.5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ht="14.5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ht="14.5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ht="14.5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ht="14.5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ht="14.5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ht="14.5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ht="14.5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ht="14.5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 ht="14.5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 ht="14.5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 ht="14.5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 ht="14.5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 ht="14.5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 ht="14.5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 ht="14.5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 ht="14.5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 ht="14.5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 ht="14.5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 ht="14.5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 ht="14.5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 ht="14.5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 ht="14.5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 ht="14.5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 ht="14.5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 ht="14.5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 ht="14.5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 ht="14.5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 ht="14.5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 ht="14.5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 ht="14.5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 ht="14.5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 ht="14.5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 ht="14.5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 ht="14.5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 ht="14.5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 ht="14.5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 ht="14.5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 ht="14.5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 ht="14.5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 ht="14.5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 ht="14.5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 ht="14.5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 ht="14.5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 ht="14.5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 ht="14.5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 ht="14.5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 ht="14.5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 ht="14.5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 ht="14.5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 ht="14.5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 ht="14.5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 ht="14.5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 ht="14.5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 ht="14.5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 ht="14.5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 ht="14.5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 ht="14.5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 ht="14.5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 ht="14.5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 ht="14.5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 ht="14.5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 ht="14.5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 ht="14.5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 ht="14.5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 ht="14.5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 ht="14.5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 ht="14.5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 ht="14.5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 ht="14.5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 ht="14.5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 ht="14.5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 ht="14.5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 ht="14.5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 ht="14.5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 ht="14.5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 ht="14.5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 ht="14.5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 ht="14.5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 ht="14.5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 ht="14.5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 ht="14.5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 ht="14.5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 ht="14.5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 ht="14.5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 ht="14.5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 ht="14.5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 ht="14.5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 ht="14.5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 ht="14.5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 ht="14.5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 ht="14.5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 ht="14.5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 ht="14.5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 ht="14.5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 ht="14.5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 ht="14.5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 ht="14.5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 ht="14.5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 ht="14.5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 ht="14.5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 ht="14.5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 ht="14.5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 ht="14.5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 ht="14.5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 ht="14.5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 ht="14.5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 ht="14.5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 ht="14.5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 ht="14.5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 ht="14.5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 ht="14.5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 ht="14.5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 ht="14.5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 ht="14.5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 ht="14.5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 ht="14.5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 ht="14.5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 ht="14.5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 ht="14.5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 ht="14.5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 ht="14.5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 ht="14.5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 ht="14.5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 ht="14.5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 ht="14.5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 ht="14.5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 ht="14.5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 ht="14.5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 ht="14.5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 ht="14.5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 ht="14.5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 ht="14.5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 ht="14.5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 ht="14.5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 ht="14.5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 ht="14.5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 ht="14.5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 ht="14.5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 ht="14.5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 ht="14.5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 ht="14.5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 ht="14.5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 ht="14.5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 ht="14.5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 ht="14.5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 ht="14.5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 ht="14.5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 ht="14.5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 ht="14.5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 ht="14.5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 ht="14.5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 ht="14.5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 ht="14.5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 ht="14.5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 ht="14.5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 ht="14.5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 ht="14.5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 ht="14.5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 ht="14.5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 ht="14.5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 ht="14.5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 ht="14.5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 ht="14.5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 ht="14.5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 ht="14.5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 ht="14.5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 ht="14.5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 ht="14.5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 ht="14.5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 ht="14.5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 ht="14.5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 ht="14.5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 ht="14.5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 ht="14.5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 ht="14.5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 ht="14.5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 ht="14.5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 ht="14.5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 ht="14.5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 ht="14.5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 ht="14.5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 ht="14.5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 ht="14.5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 ht="14.5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 ht="14.5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 ht="14.5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 ht="14.5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 ht="14.5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 ht="14.5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 ht="14.5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 ht="14.5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 ht="14.5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 ht="14.5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 ht="14.5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 ht="14.5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 ht="14.5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 ht="14.5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 ht="14.5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 ht="14.5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 ht="14.5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 ht="14.5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 ht="14.5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 ht="14.5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 ht="14.5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 ht="14.5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 ht="14.5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 ht="14.5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 ht="14.5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 ht="14.5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 ht="14.5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 ht="14.5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 ht="14.5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 ht="14.5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 ht="14.5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 ht="14.5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 ht="14.5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 ht="14.5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 ht="14.5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 ht="14.5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 ht="14.5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 ht="14.5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 ht="14.5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 ht="14.5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 ht="14.5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 ht="14.5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 ht="14.5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 ht="14.5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 ht="14.5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 ht="14.5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 ht="14.5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 ht="14.5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 ht="14.5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 ht="14.5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 ht="14.5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 ht="14.5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 ht="14.5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 ht="14.5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 ht="14.5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 ht="14.5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 ht="14.5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 ht="14.5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 ht="14.5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 ht="14.5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 ht="14.5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 ht="14.5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 ht="14.5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 ht="14.5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 ht="14.5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 ht="14.5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 ht="14.5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 ht="14.5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 ht="14.5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 ht="14.5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 ht="14.5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 ht="14.5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 ht="14.5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 ht="14.5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 ht="14.5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 ht="14.5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 ht="14.5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 ht="14.5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 ht="14.5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 ht="14.5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 ht="14.5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 ht="14.5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 ht="14.5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 ht="14.5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 ht="14.5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 ht="14.5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 ht="14.5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 ht="14.5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 ht="14.5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 ht="14.5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 ht="14.5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 ht="14.5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 ht="14.5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 ht="14.5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 ht="14.5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 ht="14.5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 ht="14.5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 ht="14.5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 ht="14.5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 ht="14.5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 ht="14.5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 ht="14.5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 ht="14.5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 ht="14.5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 ht="14.5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 ht="14.5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 ht="14.5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 ht="14.5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 ht="14.5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 ht="14.5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 ht="14.5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 ht="14.5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 ht="14.5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 ht="14.5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 ht="14.5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 ht="14.5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 ht="14.5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 ht="14.5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 ht="14.5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 ht="14.5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 ht="14.5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 ht="14.5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 ht="14.5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 ht="14.5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 ht="14.5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 ht="14.5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 ht="14.5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 ht="14.5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 ht="14.5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 ht="14.5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 ht="14.5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 ht="14.5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 ht="14.5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 ht="14.5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 ht="14.5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 ht="14.5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 ht="14.5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 ht="14.5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 ht="14.5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 ht="14.5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 ht="14.5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 ht="14.5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 ht="14.5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 ht="14.5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 ht="14.5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 ht="14.5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 ht="14.5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 ht="14.5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 ht="14.5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 ht="14.5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 ht="14.5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 ht="14.5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 ht="14.5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 ht="14.5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 ht="14.5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 ht="14.5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 ht="14.5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 ht="14.5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 ht="14.5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 ht="14.5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 ht="14.5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 ht="14.5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 ht="14.5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 ht="14.5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 ht="14.5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 ht="14.5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 ht="14.5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 ht="14.5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 ht="14.5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 ht="14.5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 ht="14.5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 ht="14.5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 ht="14.5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 ht="14.5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 ht="14.5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 ht="14.5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 ht="14.5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 ht="14.5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 ht="14.5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 ht="14.5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 ht="14.5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 ht="14.5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 ht="14.5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 ht="14.5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 ht="14.5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 ht="14.5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 ht="14.5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 ht="14.5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 ht="14.5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 ht="14.5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 ht="14.5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 ht="14.5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 ht="14.5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 ht="14.5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 ht="14.5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 ht="14.5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 ht="14.5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 ht="14.5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 ht="14.5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 ht="14.5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 ht="14.5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 ht="14.5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 ht="14.5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 ht="14.5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 ht="14.5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 ht="14.5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 ht="14.5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 ht="14.5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 ht="14.5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 ht="14.5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 ht="14.5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 ht="14.5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 ht="14.5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 ht="14.5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 ht="14.5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 ht="14.5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 ht="14.5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 ht="14.5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 ht="14.5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 ht="14.5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 ht="14.5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 ht="14.5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</sheetData>
  <sortState xmlns:xlrd2="http://schemas.microsoft.com/office/spreadsheetml/2017/richdata2" ref="A2:L5">
    <sortCondition ref="K2:K5"/>
  </sortState>
  <printOptions horizontalCentered="1" gridLines="1"/>
  <pageMargins left="0.7" right="0.7" top="1.1437499999999998" bottom="1.1437499999999998" header="0.75" footer="0.75"/>
  <pageSetup paperSize="0" fitToWidth="0" fitToHeight="0" pageOrder="overThenDown" orientation="landscape" horizontalDpi="0" verticalDpi="0" copies="0"/>
  <headerFooter alignWithMargins="0"/>
  <ignoredErrors>
    <ignoredError sqref="J2:J27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'Scoring tables'!$A$2:$A$57</xm:f>
          </x14:formula1>
          <xm:sqref>L1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workbookViewId="0">
      <selection activeCell="L10" sqref="L10"/>
    </sheetView>
  </sheetViews>
  <sheetFormatPr defaultRowHeight="15.75" customHeight="1" x14ac:dyDescent="0.35"/>
  <cols>
    <col min="1" max="1" width="10.4140625" style="25" customWidth="1"/>
    <col min="2" max="2" width="23.58203125" style="25" customWidth="1"/>
    <col min="3" max="3" width="22.4140625" style="25" customWidth="1"/>
    <col min="4" max="11" width="8.4140625" style="25" customWidth="1"/>
    <col min="12" max="1024" width="11.6640625" style="25" customWidth="1"/>
    <col min="1025" max="16384" width="8.6640625" style="25"/>
  </cols>
  <sheetData>
    <row r="1" spans="1:14" ht="30.75" customHeight="1" x14ac:dyDescent="0.35">
      <c r="A1" s="20" t="s">
        <v>0</v>
      </c>
      <c r="B1" s="20" t="s">
        <v>26</v>
      </c>
      <c r="C1" s="20" t="s">
        <v>27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23</v>
      </c>
    </row>
    <row r="2" spans="1:14" ht="14.5" x14ac:dyDescent="0.35">
      <c r="A2" s="16">
        <f ca="1">IFERROR(__xludf.dummyfunction("Query(Entries!$A$2:$U$1205,""select A,C,D where B = '""&amp;L1&amp;""'"")"),181)</f>
        <v>181</v>
      </c>
      <c r="B2" s="5" t="str">
        <f ca="1">IFERROR(__xludf.dummyfunction("""COMPUTED_VALUE"""),"Gordon Ballantyne")</f>
        <v>Gordon Ballantyne</v>
      </c>
      <c r="C2" s="5" t="str">
        <f ca="1">IFERROR(__xludf.dummyfunction("""COMPUTED_VALUE"""),"Cardinal Newman College")</f>
        <v>Cardinal Newman College</v>
      </c>
      <c r="D2" s="16" t="s">
        <v>163</v>
      </c>
      <c r="E2" s="22">
        <f ca="1">IFERROR(__xludf.dummyfunction("iferror(1000+INT(($N$2-(index(split(D2,"":""),1)*60+index(split(D2,"":""),2 )))/0.2+1)*$N$3,"""")"),1170)</f>
        <v>1170</v>
      </c>
      <c r="F2" s="16">
        <f t="shared" ref="F2:F33" ca="1" si="0">IFERROR(_xlfn.RANK.EQ(E2,E:E),"")</f>
        <v>1</v>
      </c>
      <c r="G2" s="22" t="s">
        <v>164</v>
      </c>
      <c r="H2" s="22">
        <f ca="1">IFERROR(__xludf.dummyfunction("iferror(1000+INT(($N$4-(index(split(G2,"":""),1)*60+index(split(G2,"":""),2 )))/0.2+1)*$N$5,"""")"),1185)</f>
        <v>1185</v>
      </c>
      <c r="I2" s="16">
        <f t="shared" ref="I2:I33" ca="1" si="1">IFERROR(_xlfn.RANK.EQ(H2,H:H),"")</f>
        <v>1</v>
      </c>
      <c r="J2" s="22">
        <f t="shared" ref="J2:J55" ca="1" si="2">IF(AND(D2="", G2=""), "", E2+H2)</f>
        <v>2355</v>
      </c>
      <c r="K2" s="16">
        <f t="shared" ref="K2:K33" ca="1" si="3">IFERROR(_xlfn.RANK.EQ(J2,J:J),"")</f>
        <v>1</v>
      </c>
      <c r="L2" s="16"/>
      <c r="M2" s="21" t="s">
        <v>38</v>
      </c>
      <c r="N2" s="26">
        <f>VLOOKUP($L$1,'Scoring tables'!$A$2:$K$57,10,0)</f>
        <v>150</v>
      </c>
    </row>
    <row r="3" spans="1:14" ht="14.5" x14ac:dyDescent="0.35">
      <c r="A3" s="16"/>
      <c r="B3" s="16"/>
      <c r="C3" s="16"/>
      <c r="D3" s="16"/>
      <c r="E3" s="22" t="str">
        <f ca="1">IFERROR(__xludf.dummyfunction("iferror(1000+INT(($N$2-(index(split(D3,"":""),1)*60+index(split(D3,"":""),2 )))/0.2+1)*$N$3,"""")"),"")</f>
        <v/>
      </c>
      <c r="F3" s="16" t="str">
        <f t="shared" ca="1" si="0"/>
        <v/>
      </c>
      <c r="G3" s="16"/>
      <c r="H3" s="22" t="str">
        <f ca="1">IFERROR(__xludf.dummyfunction("iferror(1000+INT(($N$4-(index(split(G3,"":""),1)*60+index(split(G3,"":""),2 )))/0.2+1)*$N$5,"""")"),"")</f>
        <v/>
      </c>
      <c r="I3" s="16" t="str">
        <f t="shared" ca="1" si="1"/>
        <v/>
      </c>
      <c r="J3" s="22" t="str">
        <f t="shared" si="2"/>
        <v/>
      </c>
      <c r="K3" s="16" t="str">
        <f t="shared" si="3"/>
        <v/>
      </c>
      <c r="L3" s="16"/>
      <c r="M3" s="21" t="s">
        <v>39</v>
      </c>
      <c r="N3" s="26">
        <f>VLOOKUP($L$1,'Scoring tables'!$A$2:$K$57,11,0)</f>
        <v>2</v>
      </c>
    </row>
    <row r="4" spans="1:14" ht="14.5" x14ac:dyDescent="0.35">
      <c r="A4" s="16"/>
      <c r="B4" s="16"/>
      <c r="C4" s="16"/>
      <c r="D4" s="16"/>
      <c r="E4" s="22" t="str">
        <f ca="1">IFERROR(__xludf.dummyfunction("iferror(1000+INT(($N$2-(index(split(D4,"":""),1)*60+index(split(D4,"":""),2 )))/0.2+1)*$N$3,"""")"),"")</f>
        <v/>
      </c>
      <c r="F4" s="16" t="str">
        <f t="shared" ca="1" si="0"/>
        <v/>
      </c>
      <c r="G4" s="16"/>
      <c r="H4" s="22" t="str">
        <f ca="1">IFERROR(__xludf.dummyfunction("iferror(1000+INT(($N$4-(index(split(G4,"":""),1)*60+index(split(G4,"":""),2 )))/0.2+1)*$N$5,"""")"),"")</f>
        <v/>
      </c>
      <c r="I4" s="16" t="str">
        <f t="shared" ca="1" si="1"/>
        <v/>
      </c>
      <c r="J4" s="22" t="str">
        <f t="shared" si="2"/>
        <v/>
      </c>
      <c r="K4" s="16" t="str">
        <f t="shared" si="3"/>
        <v/>
      </c>
      <c r="L4" s="16"/>
      <c r="M4" s="21" t="s">
        <v>31</v>
      </c>
      <c r="N4" s="26">
        <f>VLOOKUP($L$1,'Scoring tables'!$A$2:$K$57,5,0)</f>
        <v>335</v>
      </c>
    </row>
    <row r="5" spans="1:14" ht="14.5" x14ac:dyDescent="0.35">
      <c r="A5" s="16"/>
      <c r="B5" s="16"/>
      <c r="C5" s="16"/>
      <c r="D5" s="16"/>
      <c r="E5" s="22" t="str">
        <f ca="1">IFERROR(__xludf.dummyfunction("iferror(1000+INT(($N$2-(index(split(D5,"":""),1)*60+index(split(D5,"":""),2 )))/0.2+1)*$N$3,"""")"),"")</f>
        <v/>
      </c>
      <c r="F5" s="16" t="str">
        <f t="shared" ca="1" si="0"/>
        <v/>
      </c>
      <c r="G5" s="16"/>
      <c r="H5" s="22" t="str">
        <f ca="1">IFERROR(__xludf.dummyfunction("iferror(1000+INT(($N$4-(index(split(G5,"":""),1)*60+index(split(G5,"":""),2 )))/0.2+1)*$N$5,"""")"),"")</f>
        <v/>
      </c>
      <c r="I5" s="16" t="str">
        <f t="shared" ca="1" si="1"/>
        <v/>
      </c>
      <c r="J5" s="22" t="str">
        <f t="shared" si="2"/>
        <v/>
      </c>
      <c r="K5" s="16" t="str">
        <f t="shared" si="3"/>
        <v/>
      </c>
      <c r="L5" s="16"/>
      <c r="M5" s="21" t="s">
        <v>32</v>
      </c>
      <c r="N5" s="26">
        <f>VLOOKUP($L$1,'Scoring tables'!$A$2:$K$57,6,0)</f>
        <v>1</v>
      </c>
    </row>
    <row r="6" spans="1:14" ht="14.5" x14ac:dyDescent="0.35">
      <c r="A6" s="16"/>
      <c r="B6" s="16"/>
      <c r="C6" s="16"/>
      <c r="D6" s="16"/>
      <c r="E6" s="22" t="str">
        <f ca="1">IFERROR(__xludf.dummyfunction("iferror(1000+INT(($N$2-(index(split(D6,"":""),1)*60+index(split(D6,"":""),2 )))/0.2+1)*$N$3,"""")"),"")</f>
        <v/>
      </c>
      <c r="F6" s="16" t="str">
        <f t="shared" ca="1" si="0"/>
        <v/>
      </c>
      <c r="G6" s="16"/>
      <c r="H6" s="22" t="str">
        <f ca="1">IFERROR(__xludf.dummyfunction("iferror(1000+INT(($N$4-(index(split(G6,"":""),1)*60+index(split(G6,"":""),2 )))/0.2+1)*$N$5,"""")"),"")</f>
        <v/>
      </c>
      <c r="I6" s="16" t="str">
        <f t="shared" ca="1" si="1"/>
        <v/>
      </c>
      <c r="J6" s="22" t="str">
        <f t="shared" si="2"/>
        <v/>
      </c>
      <c r="K6" s="16" t="str">
        <f t="shared" si="3"/>
        <v/>
      </c>
      <c r="L6" s="16"/>
    </row>
    <row r="7" spans="1:14" ht="14.5" x14ac:dyDescent="0.35">
      <c r="A7" s="16"/>
      <c r="B7" s="16"/>
      <c r="C7" s="16"/>
      <c r="D7" s="16"/>
      <c r="E7" s="22" t="str">
        <f ca="1">IFERROR(__xludf.dummyfunction("iferror(1000+INT(($N$2-(index(split(D7,"":""),1)*60+index(split(D7,"":""),2 )))/0.2+1)*$N$3,"""")"),"")</f>
        <v/>
      </c>
      <c r="F7" s="16" t="str">
        <f t="shared" ca="1" si="0"/>
        <v/>
      </c>
      <c r="G7" s="16"/>
      <c r="H7" s="22" t="str">
        <f ca="1">IFERROR(__xludf.dummyfunction("iferror(1000+INT(($N$4-(index(split(G7,"":""),1)*60+index(split(G7,"":""),2 )))/0.2+1)*$N$5,"""")"),"")</f>
        <v/>
      </c>
      <c r="I7" s="16" t="str">
        <f t="shared" ca="1" si="1"/>
        <v/>
      </c>
      <c r="J7" s="22" t="str">
        <f t="shared" si="2"/>
        <v/>
      </c>
      <c r="K7" s="16" t="str">
        <f t="shared" si="3"/>
        <v/>
      </c>
      <c r="L7" s="16"/>
    </row>
    <row r="8" spans="1:14" ht="14.5" x14ac:dyDescent="0.35">
      <c r="A8" s="16"/>
      <c r="B8" s="16"/>
      <c r="C8" s="16"/>
      <c r="D8" s="23"/>
      <c r="E8" s="22" t="str">
        <f ca="1">IFERROR(__xludf.dummyfunction("iferror(1000+INT(($N$2-(index(split(D8,"":""),1)*60+index(split(D8,"":""),2 )))/0.2+1)*$N$3,"""")"),"")</f>
        <v/>
      </c>
      <c r="F8" s="16" t="str">
        <f t="shared" ca="1" si="0"/>
        <v/>
      </c>
      <c r="G8" s="16"/>
      <c r="H8" s="22" t="str">
        <f ca="1">IFERROR(__xludf.dummyfunction("iferror(1000+INT(($N$4-(index(split(G8,"":""),1)*60+index(split(G8,"":""),2 )))/0.2+1)*$N$5,"""")"),"")</f>
        <v/>
      </c>
      <c r="I8" s="16" t="str">
        <f t="shared" ca="1" si="1"/>
        <v/>
      </c>
      <c r="J8" s="22" t="str">
        <f t="shared" si="2"/>
        <v/>
      </c>
      <c r="K8" s="16" t="str">
        <f t="shared" si="3"/>
        <v/>
      </c>
      <c r="L8" s="16"/>
    </row>
    <row r="9" spans="1:14" ht="14.5" x14ac:dyDescent="0.35">
      <c r="A9" s="16"/>
      <c r="B9" s="16"/>
      <c r="C9" s="16"/>
      <c r="D9" s="16"/>
      <c r="E9" s="22" t="str">
        <f ca="1">IFERROR(__xludf.dummyfunction("iferror(1000+INT(($N$2-(index(split(D9,"":""),1)*60+index(split(D9,"":""),2 )))/0.2+1)*$N$3,"""")"),"")</f>
        <v/>
      </c>
      <c r="F9" s="16" t="str">
        <f t="shared" ca="1" si="0"/>
        <v/>
      </c>
      <c r="G9" s="16"/>
      <c r="H9" s="22" t="str">
        <f ca="1">IFERROR(__xludf.dummyfunction("iferror(1000+INT(($N$4-(index(split(G9,"":""),1)*60+index(split(G9,"":""),2 )))/0.2+1)*$N$5,"""")"),"")</f>
        <v/>
      </c>
      <c r="I9" s="16" t="str">
        <f t="shared" ca="1" si="1"/>
        <v/>
      </c>
      <c r="J9" s="22" t="str">
        <f t="shared" si="2"/>
        <v/>
      </c>
      <c r="K9" s="16" t="str">
        <f t="shared" si="3"/>
        <v/>
      </c>
      <c r="L9" s="16"/>
    </row>
    <row r="10" spans="1:14" ht="14.5" x14ac:dyDescent="0.35">
      <c r="A10" s="16"/>
      <c r="B10" s="16"/>
      <c r="C10" s="16"/>
      <c r="D10" s="16"/>
      <c r="E10" s="22" t="str">
        <f ca="1">IFERROR(__xludf.dummyfunction("iferror(1000+INT(($N$2-(index(split(D10,"":""),1)*60+index(split(D10,"":""),2 )))/0.2+1)*$N$3,"""")"),"")</f>
        <v/>
      </c>
      <c r="F10" s="16" t="str">
        <f t="shared" ca="1" si="0"/>
        <v/>
      </c>
      <c r="G10" s="16"/>
      <c r="H10" s="22" t="str">
        <f ca="1">IFERROR(__xludf.dummyfunction("iferror(1000+INT(($N$4-(index(split(G10,"":""),1)*60+index(split(G10,"":""),2 )))/0.2+1)*$N$5,"""")"),"")</f>
        <v/>
      </c>
      <c r="I10" s="16" t="str">
        <f t="shared" ca="1" si="1"/>
        <v/>
      </c>
      <c r="J10" s="22" t="str">
        <f t="shared" si="2"/>
        <v/>
      </c>
      <c r="K10" s="16" t="str">
        <f t="shared" si="3"/>
        <v/>
      </c>
      <c r="L10" s="16"/>
    </row>
    <row r="11" spans="1:14" ht="14.5" x14ac:dyDescent="0.35">
      <c r="A11" s="16"/>
      <c r="B11" s="16"/>
      <c r="C11" s="16"/>
      <c r="D11" s="16"/>
      <c r="E11" s="22" t="str">
        <f ca="1">IFERROR(__xludf.dummyfunction("iferror(1000+INT(($N$2-(index(split(D11,"":""),1)*60+index(split(D11,"":""),2 )))/0.2+1)*$N$3,"""")"),"")</f>
        <v/>
      </c>
      <c r="F11" s="16" t="str">
        <f t="shared" ca="1" si="0"/>
        <v/>
      </c>
      <c r="G11" s="16"/>
      <c r="H11" s="22" t="str">
        <f ca="1">IFERROR(__xludf.dummyfunction("iferror(1000+INT(($N$4-(index(split(G11,"":""),1)*60+index(split(G11,"":""),2 )))/0.2+1)*$N$5,"""")"),"")</f>
        <v/>
      </c>
      <c r="I11" s="16" t="str">
        <f t="shared" ca="1" si="1"/>
        <v/>
      </c>
      <c r="J11" s="22" t="str">
        <f t="shared" si="2"/>
        <v/>
      </c>
      <c r="K11" s="16" t="str">
        <f t="shared" si="3"/>
        <v/>
      </c>
      <c r="L11" s="16"/>
    </row>
    <row r="12" spans="1:14" ht="14.5" x14ac:dyDescent="0.35">
      <c r="A12" s="16"/>
      <c r="B12" s="16"/>
      <c r="C12" s="16"/>
      <c r="D12" s="16"/>
      <c r="E12" s="22" t="str">
        <f ca="1">IFERROR(__xludf.dummyfunction("iferror(1000+INT(($N$2-(index(split(D12,"":""),1)*60+index(split(D12,"":""),2 )))/0.2+1)*$N$3,"""")"),"")</f>
        <v/>
      </c>
      <c r="F12" s="16" t="str">
        <f t="shared" ca="1" si="0"/>
        <v/>
      </c>
      <c r="G12" s="16"/>
      <c r="H12" s="22" t="str">
        <f ca="1">IFERROR(__xludf.dummyfunction("iferror(1000+INT(($N$4-(index(split(G12,"":""),1)*60+index(split(G12,"":""),2 )))/0.2+1)*$N$5,"""")"),"")</f>
        <v/>
      </c>
      <c r="I12" s="16" t="str">
        <f t="shared" ca="1" si="1"/>
        <v/>
      </c>
      <c r="J12" s="22" t="str">
        <f t="shared" si="2"/>
        <v/>
      </c>
      <c r="K12" s="16" t="str">
        <f t="shared" si="3"/>
        <v/>
      </c>
      <c r="L12" s="16"/>
    </row>
    <row r="13" spans="1:14" ht="14.5" x14ac:dyDescent="0.35">
      <c r="A13" s="16"/>
      <c r="B13" s="16"/>
      <c r="C13" s="16"/>
      <c r="D13" s="16"/>
      <c r="E13" s="22" t="str">
        <f ca="1">IFERROR(__xludf.dummyfunction("iferror(1000+INT(($N$2-(index(split(D13,"":""),1)*60+index(split(D13,"":""),2 )))/0.2+1)*$N$3,"""")"),"")</f>
        <v/>
      </c>
      <c r="F13" s="16" t="str">
        <f t="shared" ca="1" si="0"/>
        <v/>
      </c>
      <c r="G13" s="16"/>
      <c r="H13" s="22" t="str">
        <f ca="1">IFERROR(__xludf.dummyfunction("iferror(1000+INT(($N$4-(index(split(G13,"":""),1)*60+index(split(G13,"":""),2 )))/0.2+1)*$N$5,"""")"),"")</f>
        <v/>
      </c>
      <c r="I13" s="16" t="str">
        <f t="shared" ca="1" si="1"/>
        <v/>
      </c>
      <c r="J13" s="22" t="str">
        <f t="shared" si="2"/>
        <v/>
      </c>
      <c r="K13" s="16" t="str">
        <f t="shared" si="3"/>
        <v/>
      </c>
      <c r="L13" s="16"/>
    </row>
    <row r="14" spans="1:14" ht="14.5" x14ac:dyDescent="0.35">
      <c r="A14" s="16"/>
      <c r="B14" s="16"/>
      <c r="C14" s="16"/>
      <c r="D14" s="16"/>
      <c r="E14" s="22" t="str">
        <f ca="1">IFERROR(__xludf.dummyfunction("iferror(1000+INT(($N$2-(index(split(D14,"":""),1)*60+index(split(D14,"":""),2 )))/0.2+1)*$N$3,"""")"),"")</f>
        <v/>
      </c>
      <c r="F14" s="16" t="str">
        <f t="shared" ca="1" si="0"/>
        <v/>
      </c>
      <c r="G14" s="16"/>
      <c r="H14" s="22" t="str">
        <f ca="1">IFERROR(__xludf.dummyfunction("iferror(1000+INT(($N$4-(index(split(G14,"":""),1)*60+index(split(G14,"":""),2 )))/0.2+1)*$N$5,"""")"),"")</f>
        <v/>
      </c>
      <c r="I14" s="16" t="str">
        <f t="shared" ca="1" si="1"/>
        <v/>
      </c>
      <c r="J14" s="22" t="str">
        <f t="shared" si="2"/>
        <v/>
      </c>
      <c r="K14" s="16" t="str">
        <f t="shared" si="3"/>
        <v/>
      </c>
      <c r="L14" s="16"/>
    </row>
    <row r="15" spans="1:14" ht="14.5" x14ac:dyDescent="0.35">
      <c r="A15" s="16"/>
      <c r="B15" s="16"/>
      <c r="C15" s="16"/>
      <c r="D15" s="16"/>
      <c r="E15" s="22" t="str">
        <f ca="1">IFERROR(__xludf.dummyfunction("iferror(1000+INT(($N$2-(index(split(D15,"":""),1)*60+index(split(D15,"":""),2 )))/0.2+1)*$N$3,"""")"),"")</f>
        <v/>
      </c>
      <c r="F15" s="16" t="str">
        <f t="shared" ca="1" si="0"/>
        <v/>
      </c>
      <c r="G15" s="16"/>
      <c r="H15" s="22" t="str">
        <f ca="1">IFERROR(__xludf.dummyfunction("iferror(1000+INT(($N$4-(index(split(G15,"":""),1)*60+index(split(G15,"":""),2 )))/0.2+1)*$N$5,"""")"),"")</f>
        <v/>
      </c>
      <c r="I15" s="16" t="str">
        <f t="shared" ca="1" si="1"/>
        <v/>
      </c>
      <c r="J15" s="22" t="str">
        <f t="shared" si="2"/>
        <v/>
      </c>
      <c r="K15" s="16" t="str">
        <f t="shared" si="3"/>
        <v/>
      </c>
      <c r="L15" s="16"/>
    </row>
    <row r="16" spans="1:14" ht="14.5" x14ac:dyDescent="0.35">
      <c r="A16" s="16"/>
      <c r="B16" s="16"/>
      <c r="C16" s="16"/>
      <c r="D16" s="16"/>
      <c r="E16" s="22" t="str">
        <f ca="1">IFERROR(__xludf.dummyfunction("iferror(1000+INT(($N$2-(index(split(D16,"":""),1)*60+index(split(D16,"":""),2 )))/0.2+1)*$N$3,"""")"),"")</f>
        <v/>
      </c>
      <c r="F16" s="16" t="str">
        <f t="shared" ca="1" si="0"/>
        <v/>
      </c>
      <c r="G16" s="16"/>
      <c r="H16" s="22" t="str">
        <f ca="1">IFERROR(__xludf.dummyfunction("iferror(1000+INT(($N$4-(index(split(G16,"":""),1)*60+index(split(G16,"":""),2 )))/0.2+1)*$N$5,"""")"),"")</f>
        <v/>
      </c>
      <c r="I16" s="16" t="str">
        <f t="shared" ca="1" si="1"/>
        <v/>
      </c>
      <c r="J16" s="22" t="str">
        <f t="shared" si="2"/>
        <v/>
      </c>
      <c r="K16" s="16" t="str">
        <f t="shared" si="3"/>
        <v/>
      </c>
      <c r="L16" s="16"/>
    </row>
    <row r="17" spans="1:12" ht="14.5" x14ac:dyDescent="0.35">
      <c r="A17" s="16"/>
      <c r="B17" s="16"/>
      <c r="C17" s="16"/>
      <c r="D17" s="16"/>
      <c r="E17" s="22" t="str">
        <f ca="1">IFERROR(__xludf.dummyfunction("iferror(1000+INT(($N$2-(index(split(D17,"":""),1)*60+index(split(D17,"":""),2 )))/0.2+1)*$N$3,"""")"),"")</f>
        <v/>
      </c>
      <c r="F17" s="16" t="str">
        <f t="shared" ca="1" si="0"/>
        <v/>
      </c>
      <c r="G17" s="16"/>
      <c r="H17" s="22" t="str">
        <f ca="1">IFERROR(__xludf.dummyfunction("iferror(1000+INT(($N$4-(index(split(G17,"":""),1)*60+index(split(G17,"":""),2 )))/0.2+1)*$N$5,"""")"),"")</f>
        <v/>
      </c>
      <c r="I17" s="16" t="str">
        <f t="shared" ca="1" si="1"/>
        <v/>
      </c>
      <c r="J17" s="22" t="str">
        <f t="shared" si="2"/>
        <v/>
      </c>
      <c r="K17" s="16" t="str">
        <f t="shared" si="3"/>
        <v/>
      </c>
      <c r="L17" s="16"/>
    </row>
    <row r="18" spans="1:12" ht="14.5" x14ac:dyDescent="0.35">
      <c r="A18" s="16"/>
      <c r="B18" s="16"/>
      <c r="C18" s="16"/>
      <c r="D18" s="16"/>
      <c r="E18" s="22" t="str">
        <f ca="1">IFERROR(__xludf.dummyfunction("iferror(1000+INT(($N$2-(index(split(D18,"":""),1)*60+index(split(D18,"":""),2 )))/0.2+1)*$N$3,"""")"),"")</f>
        <v/>
      </c>
      <c r="F18" s="16" t="str">
        <f t="shared" ca="1" si="0"/>
        <v/>
      </c>
      <c r="G18" s="16"/>
      <c r="H18" s="22" t="str">
        <f ca="1">IFERROR(__xludf.dummyfunction("iferror(1000+INT(($N$4-(index(split(G18,"":""),1)*60+index(split(G18,"":""),2 )))/0.2+1)*$N$5,"""")"),"")</f>
        <v/>
      </c>
      <c r="I18" s="16" t="str">
        <f t="shared" ca="1" si="1"/>
        <v/>
      </c>
      <c r="J18" s="22" t="str">
        <f t="shared" si="2"/>
        <v/>
      </c>
      <c r="K18" s="16" t="str">
        <f t="shared" si="3"/>
        <v/>
      </c>
      <c r="L18" s="16"/>
    </row>
    <row r="19" spans="1:12" ht="14.5" x14ac:dyDescent="0.35">
      <c r="A19" s="16"/>
      <c r="B19" s="16"/>
      <c r="C19" s="16"/>
      <c r="D19" s="16"/>
      <c r="E19" s="22" t="str">
        <f ca="1">IFERROR(__xludf.dummyfunction("iferror(1000+INT(($N$2-(index(split(D19,"":""),1)*60+index(split(D19,"":""),2 )))/0.2+1)*$N$3,"""")"),"")</f>
        <v/>
      </c>
      <c r="F19" s="16" t="str">
        <f t="shared" ca="1" si="0"/>
        <v/>
      </c>
      <c r="G19" s="16"/>
      <c r="H19" s="22" t="str">
        <f ca="1">IFERROR(__xludf.dummyfunction("iferror(1000+INT(($N$4-(index(split(G19,"":""),1)*60+index(split(G19,"":""),2 )))/0.2+1)*$N$5,"""")"),"")</f>
        <v/>
      </c>
      <c r="I19" s="16" t="str">
        <f t="shared" ca="1" si="1"/>
        <v/>
      </c>
      <c r="J19" s="22" t="str">
        <f t="shared" si="2"/>
        <v/>
      </c>
      <c r="K19" s="16" t="str">
        <f t="shared" si="3"/>
        <v/>
      </c>
      <c r="L19" s="16"/>
    </row>
    <row r="20" spans="1:12" ht="14.5" x14ac:dyDescent="0.35">
      <c r="A20" s="16"/>
      <c r="B20" s="16"/>
      <c r="C20" s="16"/>
      <c r="D20" s="16"/>
      <c r="E20" s="22" t="str">
        <f ca="1">IFERROR(__xludf.dummyfunction("iferror(1000+INT(($N$2-(index(split(D20,"":""),1)*60+index(split(D20,"":""),2 )))/0.2+1)*$N$3,"""")"),"")</f>
        <v/>
      </c>
      <c r="F20" s="16" t="str">
        <f t="shared" ca="1" si="0"/>
        <v/>
      </c>
      <c r="G20" s="16"/>
      <c r="H20" s="22" t="str">
        <f ca="1">IFERROR(__xludf.dummyfunction("iferror(1000+INT(($N$4-(index(split(G20,"":""),1)*60+index(split(G20,"":""),2 )))/0.2+1)*$N$5,"""")"),"")</f>
        <v/>
      </c>
      <c r="I20" s="16" t="str">
        <f t="shared" ca="1" si="1"/>
        <v/>
      </c>
      <c r="J20" s="22" t="str">
        <f t="shared" si="2"/>
        <v/>
      </c>
      <c r="K20" s="16" t="str">
        <f t="shared" si="3"/>
        <v/>
      </c>
      <c r="L20" s="16"/>
    </row>
    <row r="21" spans="1:12" ht="14.5" x14ac:dyDescent="0.35">
      <c r="A21" s="16"/>
      <c r="B21" s="16"/>
      <c r="C21" s="16"/>
      <c r="D21" s="16"/>
      <c r="E21" s="22" t="str">
        <f ca="1">IFERROR(__xludf.dummyfunction("iferror(1000+INT(($N$2-(index(split(D21,"":""),1)*60+index(split(D21,"":""),2 )))/0.2+1)*$N$3,"""")"),"")</f>
        <v/>
      </c>
      <c r="F21" s="16" t="str">
        <f t="shared" ca="1" si="0"/>
        <v/>
      </c>
      <c r="G21" s="16"/>
      <c r="H21" s="22" t="str">
        <f ca="1">IFERROR(__xludf.dummyfunction("iferror(1000+INT(($N$4-(index(split(G21,"":""),1)*60+index(split(G21,"":""),2 )))/0.2+1)*$N$5,"""")"),"")</f>
        <v/>
      </c>
      <c r="I21" s="16" t="str">
        <f t="shared" ca="1" si="1"/>
        <v/>
      </c>
      <c r="J21" s="22" t="str">
        <f t="shared" si="2"/>
        <v/>
      </c>
      <c r="K21" s="16" t="str">
        <f t="shared" si="3"/>
        <v/>
      </c>
      <c r="L21" s="16"/>
    </row>
    <row r="22" spans="1:12" ht="14.5" x14ac:dyDescent="0.35">
      <c r="A22" s="16"/>
      <c r="B22" s="16"/>
      <c r="C22" s="16"/>
      <c r="D22" s="16"/>
      <c r="E22" s="22" t="str">
        <f ca="1">IFERROR(__xludf.dummyfunction("iferror(1000+INT(($N$2-(index(split(D22,"":""),1)*60+index(split(D22,"":""),2 )))/0.2+1)*$N$3,"""")"),"")</f>
        <v/>
      </c>
      <c r="F22" s="16" t="str">
        <f t="shared" ca="1" si="0"/>
        <v/>
      </c>
      <c r="G22" s="16"/>
      <c r="H22" s="22" t="str">
        <f ca="1">IFERROR(__xludf.dummyfunction("iferror(1000+INT(($N$4-(index(split(G22,"":""),1)*60+index(split(G22,"":""),2 )))/0.2+1)*$N$5,"""")"),"")</f>
        <v/>
      </c>
      <c r="I22" s="16" t="str">
        <f t="shared" ca="1" si="1"/>
        <v/>
      </c>
      <c r="J22" s="22" t="str">
        <f t="shared" si="2"/>
        <v/>
      </c>
      <c r="K22" s="16" t="str">
        <f t="shared" si="3"/>
        <v/>
      </c>
      <c r="L22" s="16"/>
    </row>
    <row r="23" spans="1:12" ht="14.5" x14ac:dyDescent="0.35">
      <c r="A23" s="16"/>
      <c r="B23" s="16"/>
      <c r="C23" s="16"/>
      <c r="D23" s="16"/>
      <c r="E23" s="22" t="str">
        <f ca="1">IFERROR(__xludf.dummyfunction("iferror(1000+INT(($N$2-(index(split(D23,"":""),1)*60+index(split(D23,"":""),2 )))/0.2+1)*$N$3,"""")"),"")</f>
        <v/>
      </c>
      <c r="F23" s="16" t="str">
        <f t="shared" ca="1" si="0"/>
        <v/>
      </c>
      <c r="G23" s="16"/>
      <c r="H23" s="22" t="str">
        <f ca="1">IFERROR(__xludf.dummyfunction("iferror(1000+INT(($N$4-(index(split(G23,"":""),1)*60+index(split(G23,"":""),2 )))/0.2+1)*$N$5,"""")"),"")</f>
        <v/>
      </c>
      <c r="I23" s="16" t="str">
        <f t="shared" ca="1" si="1"/>
        <v/>
      </c>
      <c r="J23" s="22" t="str">
        <f t="shared" si="2"/>
        <v/>
      </c>
      <c r="K23" s="16" t="str">
        <f t="shared" si="3"/>
        <v/>
      </c>
      <c r="L23" s="16"/>
    </row>
    <row r="24" spans="1:12" ht="14.5" x14ac:dyDescent="0.35">
      <c r="A24" s="16"/>
      <c r="B24" s="16"/>
      <c r="C24" s="16"/>
      <c r="D24" s="16"/>
      <c r="E24" s="22" t="str">
        <f ca="1">IFERROR(__xludf.dummyfunction("iferror(1000+INT(($N$2-(index(split(D24,"":""),1)*60+index(split(D24,"":""),2 )))/0.2+1)*$N$3,"""")"),"")</f>
        <v/>
      </c>
      <c r="F24" s="16" t="str">
        <f t="shared" ca="1" si="0"/>
        <v/>
      </c>
      <c r="G24" s="16"/>
      <c r="H24" s="22" t="str">
        <f ca="1">IFERROR(__xludf.dummyfunction("iferror(1000+INT(($N$4-(index(split(G24,"":""),1)*60+index(split(G24,"":""),2 )))/0.2+1)*$N$5,"""")"),"")</f>
        <v/>
      </c>
      <c r="I24" s="16" t="str">
        <f t="shared" ca="1" si="1"/>
        <v/>
      </c>
      <c r="J24" s="22" t="str">
        <f t="shared" si="2"/>
        <v/>
      </c>
      <c r="K24" s="16" t="str">
        <f t="shared" si="3"/>
        <v/>
      </c>
      <c r="L24" s="16"/>
    </row>
    <row r="25" spans="1:12" ht="14.5" x14ac:dyDescent="0.35">
      <c r="A25" s="16"/>
      <c r="B25" s="16"/>
      <c r="C25" s="16"/>
      <c r="D25" s="16"/>
      <c r="E25" s="22" t="str">
        <f ca="1">IFERROR(__xludf.dummyfunction("iferror(1000+INT(($N$2-(index(split(D25,"":""),1)*60+index(split(D25,"":""),2 )))/0.2+1)*$N$3,"""")"),"")</f>
        <v/>
      </c>
      <c r="F25" s="16" t="str">
        <f t="shared" ca="1" si="0"/>
        <v/>
      </c>
      <c r="G25" s="16"/>
      <c r="H25" s="22" t="str">
        <f ca="1">IFERROR(__xludf.dummyfunction("iferror(1000+INT(($N$4-(index(split(G25,"":""),1)*60+index(split(G25,"":""),2 )))/0.2+1)*$N$5,"""")"),"")</f>
        <v/>
      </c>
      <c r="I25" s="16" t="str">
        <f t="shared" ca="1" si="1"/>
        <v/>
      </c>
      <c r="J25" s="22" t="str">
        <f t="shared" si="2"/>
        <v/>
      </c>
      <c r="K25" s="16" t="str">
        <f t="shared" si="3"/>
        <v/>
      </c>
      <c r="L25" s="16"/>
    </row>
    <row r="26" spans="1:12" ht="14.5" x14ac:dyDescent="0.35">
      <c r="A26" s="16"/>
      <c r="B26" s="16"/>
      <c r="C26" s="16"/>
      <c r="D26" s="16"/>
      <c r="E26" s="22" t="str">
        <f ca="1">IFERROR(__xludf.dummyfunction("iferror(1000+INT(($N$2-(index(split(D26,"":""),1)*60+index(split(D26,"":""),2 )))/0.2+1)*$N$3,"""")"),"")</f>
        <v/>
      </c>
      <c r="F26" s="16" t="str">
        <f t="shared" ca="1" si="0"/>
        <v/>
      </c>
      <c r="G26" s="16"/>
      <c r="H26" s="22" t="str">
        <f ca="1">IFERROR(__xludf.dummyfunction("iferror(1000+INT(($N$4-(index(split(G26,"":""),1)*60+index(split(G26,"":""),2 )))/0.2+1)*$N$5,"""")"),"")</f>
        <v/>
      </c>
      <c r="I26" s="16" t="str">
        <f t="shared" ca="1" si="1"/>
        <v/>
      </c>
      <c r="J26" s="22" t="str">
        <f t="shared" si="2"/>
        <v/>
      </c>
      <c r="K26" s="16" t="str">
        <f t="shared" si="3"/>
        <v/>
      </c>
      <c r="L26" s="16"/>
    </row>
    <row r="27" spans="1:12" ht="14.5" x14ac:dyDescent="0.35">
      <c r="A27" s="16"/>
      <c r="B27" s="16"/>
      <c r="C27" s="16"/>
      <c r="D27" s="16"/>
      <c r="E27" s="22" t="str">
        <f ca="1">IFERROR(__xludf.dummyfunction("iferror(1000+INT(($N$2-(index(split(D27,"":""),1)*60+index(split(D27,"":""),2 )))/0.2+1)*$N$3,"""")"),"")</f>
        <v/>
      </c>
      <c r="F27" s="16" t="str">
        <f t="shared" ca="1" si="0"/>
        <v/>
      </c>
      <c r="G27" s="16"/>
      <c r="H27" s="22" t="str">
        <f ca="1">IFERROR(__xludf.dummyfunction("iferror(1000+INT(($N$4-(index(split(G27,"":""),1)*60+index(split(G27,"":""),2 )))/0.2+1)*$N$5,"""")"),"")</f>
        <v/>
      </c>
      <c r="I27" s="16" t="str">
        <f t="shared" ca="1" si="1"/>
        <v/>
      </c>
      <c r="J27" s="22" t="str">
        <f t="shared" si="2"/>
        <v/>
      </c>
      <c r="K27" s="16" t="str">
        <f t="shared" si="3"/>
        <v/>
      </c>
      <c r="L27" s="16"/>
    </row>
    <row r="28" spans="1:12" ht="14.5" x14ac:dyDescent="0.35">
      <c r="A28" s="16"/>
      <c r="B28" s="16"/>
      <c r="C28" s="16"/>
      <c r="D28" s="16"/>
      <c r="E28" s="22" t="str">
        <f ca="1">IFERROR(__xludf.dummyfunction("iferror(1000+INT(($N$2-(index(split(D28,"":""),1)*60+index(split(D28,"":""),2 )))/0.2+1)*$N$3,"""")"),"")</f>
        <v/>
      </c>
      <c r="F28" s="16" t="str">
        <f t="shared" ca="1" si="0"/>
        <v/>
      </c>
      <c r="G28" s="16"/>
      <c r="H28" s="22" t="str">
        <f ca="1">IFERROR(__xludf.dummyfunction("iferror(1000+INT(($N$4-(index(split(G28,"":""),1)*60+index(split(G28,"":""),2 )))/0.2+1)*$N$5,"""")"),"")</f>
        <v/>
      </c>
      <c r="I28" s="16" t="str">
        <f t="shared" ca="1" si="1"/>
        <v/>
      </c>
      <c r="J28" s="22" t="str">
        <f t="shared" si="2"/>
        <v/>
      </c>
      <c r="K28" s="16" t="str">
        <f t="shared" si="3"/>
        <v/>
      </c>
      <c r="L28" s="16"/>
    </row>
    <row r="29" spans="1:12" ht="14.5" x14ac:dyDescent="0.35">
      <c r="A29" s="16"/>
      <c r="B29" s="16"/>
      <c r="C29" s="16"/>
      <c r="D29" s="16"/>
      <c r="E29" s="22" t="str">
        <f ca="1">IFERROR(__xludf.dummyfunction("iferror(1000+INT(($N$2-(index(split(D29,"":""),1)*60+index(split(D29,"":""),2 )))/0.2+1)*$N$3,"""")"),"")</f>
        <v/>
      </c>
      <c r="F29" s="16" t="str">
        <f t="shared" ca="1" si="0"/>
        <v/>
      </c>
      <c r="G29" s="16"/>
      <c r="H29" s="22" t="str">
        <f ca="1">IFERROR(__xludf.dummyfunction("iferror(1000+INT(($N$4-(index(split(G29,"":""),1)*60+index(split(G29,"":""),2 )))/0.2+1)*$N$5,"""")"),"")</f>
        <v/>
      </c>
      <c r="I29" s="16" t="str">
        <f t="shared" ca="1" si="1"/>
        <v/>
      </c>
      <c r="J29" s="22" t="str">
        <f t="shared" si="2"/>
        <v/>
      </c>
      <c r="K29" s="16" t="str">
        <f t="shared" si="3"/>
        <v/>
      </c>
      <c r="L29" s="16"/>
    </row>
    <row r="30" spans="1:12" ht="14.5" x14ac:dyDescent="0.35">
      <c r="A30" s="16"/>
      <c r="B30" s="16"/>
      <c r="C30" s="16"/>
      <c r="D30" s="16"/>
      <c r="E30" s="22" t="str">
        <f ca="1">IFERROR(__xludf.dummyfunction("iferror(1000+INT(($N$2-(index(split(D30,"":""),1)*60+index(split(D30,"":""),2 )))/0.2+1)*$N$3,"""")"),"")</f>
        <v/>
      </c>
      <c r="F30" s="16" t="str">
        <f t="shared" ca="1" si="0"/>
        <v/>
      </c>
      <c r="G30" s="16"/>
      <c r="H30" s="22" t="str">
        <f ca="1">IFERROR(__xludf.dummyfunction("iferror(1000+INT(($N$4-(index(split(G30,"":""),1)*60+index(split(G30,"":""),2 )))/0.2+1)*$N$5,"""")"),"")</f>
        <v/>
      </c>
      <c r="I30" s="16" t="str">
        <f t="shared" ca="1" si="1"/>
        <v/>
      </c>
      <c r="J30" s="22" t="str">
        <f t="shared" si="2"/>
        <v/>
      </c>
      <c r="K30" s="16" t="str">
        <f t="shared" si="3"/>
        <v/>
      </c>
      <c r="L30" s="16"/>
    </row>
    <row r="31" spans="1:12" ht="14.5" x14ac:dyDescent="0.35">
      <c r="A31" s="16"/>
      <c r="B31" s="16"/>
      <c r="C31" s="16"/>
      <c r="D31" s="16"/>
      <c r="E31" s="22" t="str">
        <f ca="1">IFERROR(__xludf.dummyfunction("iferror(1000+INT(($N$2-(index(split(D31,"":""),1)*60+index(split(D31,"":""),2 )))/0.2+1)*$N$3,"""")"),"")</f>
        <v/>
      </c>
      <c r="F31" s="16" t="str">
        <f t="shared" ca="1" si="0"/>
        <v/>
      </c>
      <c r="G31" s="16"/>
      <c r="H31" s="22" t="str">
        <f ca="1">IFERROR(__xludf.dummyfunction("iferror(1000+INT(($N$4-(index(split(G31,"":""),1)*60+index(split(G31,"":""),2 )))/0.2+1)*$N$5,"""")"),"")</f>
        <v/>
      </c>
      <c r="I31" s="16" t="str">
        <f t="shared" ca="1" si="1"/>
        <v/>
      </c>
      <c r="J31" s="22" t="str">
        <f t="shared" si="2"/>
        <v/>
      </c>
      <c r="K31" s="16" t="str">
        <f t="shared" si="3"/>
        <v/>
      </c>
      <c r="L31" s="16"/>
    </row>
    <row r="32" spans="1:12" ht="14.5" x14ac:dyDescent="0.35">
      <c r="A32" s="16"/>
      <c r="B32" s="16"/>
      <c r="C32" s="16"/>
      <c r="D32" s="16"/>
      <c r="E32" s="22" t="str">
        <f ca="1">IFERROR(__xludf.dummyfunction("iferror(1000+INT(($N$2-(index(split(D32,"":""),1)*60+index(split(D32,"":""),2 )))/0.2+1)*$N$3,"""")"),"")</f>
        <v/>
      </c>
      <c r="F32" s="16" t="str">
        <f t="shared" ca="1" si="0"/>
        <v/>
      </c>
      <c r="G32" s="16"/>
      <c r="H32" s="22" t="str">
        <f ca="1">IFERROR(__xludf.dummyfunction("iferror(1000+INT(($N$4-(index(split(G32,"":""),1)*60+index(split(G32,"":""),2 )))/0.2+1)*$N$5,"""")"),"")</f>
        <v/>
      </c>
      <c r="I32" s="16" t="str">
        <f t="shared" ca="1" si="1"/>
        <v/>
      </c>
      <c r="J32" s="22" t="str">
        <f t="shared" si="2"/>
        <v/>
      </c>
      <c r="K32" s="16" t="str">
        <f t="shared" si="3"/>
        <v/>
      </c>
      <c r="L32" s="16"/>
    </row>
    <row r="33" spans="1:12" ht="14.5" x14ac:dyDescent="0.35">
      <c r="A33" s="16"/>
      <c r="B33" s="16"/>
      <c r="C33" s="16"/>
      <c r="D33" s="16"/>
      <c r="E33" s="22" t="str">
        <f ca="1">IFERROR(__xludf.dummyfunction("iferror(1000+INT(($N$2-(index(split(D33,"":""),1)*60+index(split(D33,"":""),2 )))/0.2+1)*$N$3,"""")"),"")</f>
        <v/>
      </c>
      <c r="F33" s="16" t="str">
        <f t="shared" ca="1" si="0"/>
        <v/>
      </c>
      <c r="G33" s="16"/>
      <c r="H33" s="22" t="str">
        <f ca="1">IFERROR(__xludf.dummyfunction("iferror(1000+INT(($N$4-(index(split(G33,"":""),1)*60+index(split(G33,"":""),2 )))/0.2+1)*$N$5,"""")"),"")</f>
        <v/>
      </c>
      <c r="I33" s="16" t="str">
        <f t="shared" ca="1" si="1"/>
        <v/>
      </c>
      <c r="J33" s="22" t="str">
        <f t="shared" si="2"/>
        <v/>
      </c>
      <c r="K33" s="16" t="str">
        <f t="shared" si="3"/>
        <v/>
      </c>
      <c r="L33" s="16"/>
    </row>
    <row r="34" spans="1:12" ht="14.5" x14ac:dyDescent="0.35">
      <c r="A34" s="16"/>
      <c r="B34" s="16"/>
      <c r="C34" s="16"/>
      <c r="D34" s="16"/>
      <c r="E34" s="22" t="str">
        <f ca="1">IFERROR(__xludf.dummyfunction("iferror(1000+INT(($N$2-(index(split(D34,"":""),1)*60+index(split(D34,"":""),2 )))/0.2+1)*$N$3,"""")"),"")</f>
        <v/>
      </c>
      <c r="F34" s="16" t="str">
        <f t="shared" ref="F34:F65" ca="1" si="4">IFERROR(_xlfn.RANK.EQ(E34,E:E),"")</f>
        <v/>
      </c>
      <c r="G34" s="16"/>
      <c r="H34" s="22" t="str">
        <f ca="1">IFERROR(__xludf.dummyfunction("iferror(1000+INT(($N$4-(index(split(G34,"":""),1)*60+index(split(G34,"":""),2 )))/0.2+1)*$N$5,"""")"),"")</f>
        <v/>
      </c>
      <c r="I34" s="16" t="str">
        <f t="shared" ref="I34:I65" ca="1" si="5">IFERROR(_xlfn.RANK.EQ(H34,H:H),"")</f>
        <v/>
      </c>
      <c r="J34" s="22" t="str">
        <f t="shared" si="2"/>
        <v/>
      </c>
      <c r="K34" s="16" t="str">
        <f t="shared" ref="K34:K65" si="6">IFERROR(_xlfn.RANK.EQ(J34,J:J),"")</f>
        <v/>
      </c>
      <c r="L34" s="16"/>
    </row>
    <row r="35" spans="1:12" ht="14.5" x14ac:dyDescent="0.35">
      <c r="A35" s="16"/>
      <c r="B35" s="16"/>
      <c r="C35" s="16"/>
      <c r="D35" s="16"/>
      <c r="E35" s="22" t="str">
        <f ca="1">IFERROR(__xludf.dummyfunction("iferror(1000+INT(($N$2-(index(split(D35,"":""),1)*60+index(split(D35,"":""),2 )))/0.2+1)*$N$3,"""")"),"")</f>
        <v/>
      </c>
      <c r="F35" s="16" t="str">
        <f t="shared" ca="1" si="4"/>
        <v/>
      </c>
      <c r="G35" s="16"/>
      <c r="H35" s="22" t="str">
        <f ca="1">IFERROR(__xludf.dummyfunction("iferror(1000+INT(($N$4-(index(split(G35,"":""),1)*60+index(split(G35,"":""),2 )))/0.2+1)*$N$5,"""")"),"")</f>
        <v/>
      </c>
      <c r="I35" s="16" t="str">
        <f t="shared" ca="1" si="5"/>
        <v/>
      </c>
      <c r="J35" s="22" t="str">
        <f t="shared" si="2"/>
        <v/>
      </c>
      <c r="K35" s="16" t="str">
        <f t="shared" si="6"/>
        <v/>
      </c>
      <c r="L35" s="16"/>
    </row>
    <row r="36" spans="1:12" ht="14.5" x14ac:dyDescent="0.35">
      <c r="A36" s="16"/>
      <c r="B36" s="16"/>
      <c r="C36" s="16"/>
      <c r="D36" s="16"/>
      <c r="E36" s="22" t="str">
        <f ca="1">IFERROR(__xludf.dummyfunction("iferror(1000+INT(($N$2-(index(split(D36,"":""),1)*60+index(split(D36,"":""),2 )))/0.2+1)*$N$3,"""")"),"")</f>
        <v/>
      </c>
      <c r="F36" s="16" t="str">
        <f t="shared" ca="1" si="4"/>
        <v/>
      </c>
      <c r="G36" s="16"/>
      <c r="H36" s="22" t="str">
        <f ca="1">IFERROR(__xludf.dummyfunction("iferror(1000+INT(($N$4-(index(split(G36,"":""),1)*60+index(split(G36,"":""),2 )))/0.2+1)*$N$5,"""")"),"")</f>
        <v/>
      </c>
      <c r="I36" s="16" t="str">
        <f t="shared" ca="1" si="5"/>
        <v/>
      </c>
      <c r="J36" s="22" t="str">
        <f t="shared" si="2"/>
        <v/>
      </c>
      <c r="K36" s="16" t="str">
        <f t="shared" si="6"/>
        <v/>
      </c>
      <c r="L36" s="16"/>
    </row>
    <row r="37" spans="1:12" ht="14.5" x14ac:dyDescent="0.35">
      <c r="A37" s="16"/>
      <c r="B37" s="16"/>
      <c r="C37" s="16"/>
      <c r="D37" s="16"/>
      <c r="E37" s="22" t="str">
        <f ca="1">IFERROR(__xludf.dummyfunction("iferror(1000+INT(($N$2-(index(split(D37,"":""),1)*60+index(split(D37,"":""),2 )))/0.2+1)*$N$3,"""")"),"")</f>
        <v/>
      </c>
      <c r="F37" s="16" t="str">
        <f t="shared" ca="1" si="4"/>
        <v/>
      </c>
      <c r="G37" s="16"/>
      <c r="H37" s="22" t="str">
        <f ca="1">IFERROR(__xludf.dummyfunction("iferror(1000+INT(($N$4-(index(split(G37,"":""),1)*60+index(split(G37,"":""),2 )))/0.2+1)*$N$5,"""")"),"")</f>
        <v/>
      </c>
      <c r="I37" s="16" t="str">
        <f t="shared" ca="1" si="5"/>
        <v/>
      </c>
      <c r="J37" s="22" t="str">
        <f t="shared" si="2"/>
        <v/>
      </c>
      <c r="K37" s="16" t="str">
        <f t="shared" si="6"/>
        <v/>
      </c>
      <c r="L37" s="16"/>
    </row>
    <row r="38" spans="1:12" ht="14.5" x14ac:dyDescent="0.35">
      <c r="A38" s="16"/>
      <c r="B38" s="16"/>
      <c r="C38" s="16"/>
      <c r="D38" s="16"/>
      <c r="E38" s="22" t="str">
        <f ca="1">IFERROR(__xludf.dummyfunction("iferror(1000+INT(($N$2-(index(split(D38,"":""),1)*60+index(split(D38,"":""),2 )))/0.2+1)*$N$3,"""")"),"")</f>
        <v/>
      </c>
      <c r="F38" s="16" t="str">
        <f t="shared" ca="1" si="4"/>
        <v/>
      </c>
      <c r="G38" s="16"/>
      <c r="H38" s="22" t="str">
        <f ca="1">IFERROR(__xludf.dummyfunction("iferror(1000+INT(($N$4-(index(split(G38,"":""),1)*60+index(split(G38,"":""),2 )))/0.2+1)*$N$5,"""")"),"")</f>
        <v/>
      </c>
      <c r="I38" s="16" t="str">
        <f t="shared" ca="1" si="5"/>
        <v/>
      </c>
      <c r="J38" s="22" t="str">
        <f t="shared" si="2"/>
        <v/>
      </c>
      <c r="K38" s="16" t="str">
        <f t="shared" si="6"/>
        <v/>
      </c>
      <c r="L38" s="16"/>
    </row>
    <row r="39" spans="1:12" ht="14.5" x14ac:dyDescent="0.35">
      <c r="A39" s="16"/>
      <c r="B39" s="16"/>
      <c r="C39" s="16"/>
      <c r="D39" s="16"/>
      <c r="E39" s="22" t="str">
        <f ca="1">IFERROR(__xludf.dummyfunction("iferror(1000+INT(($N$2-(index(split(D39,"":""),1)*60+index(split(D39,"":""),2 )))/0.2+1)*$N$3,"""")"),"")</f>
        <v/>
      </c>
      <c r="F39" s="16" t="str">
        <f t="shared" ca="1" si="4"/>
        <v/>
      </c>
      <c r="G39" s="16"/>
      <c r="H39" s="22" t="str">
        <f ca="1">IFERROR(__xludf.dummyfunction("iferror(1000+INT(($N$4-(index(split(G39,"":""),1)*60+index(split(G39,"":""),2 )))/0.2+1)*$N$5,"""")"),"")</f>
        <v/>
      </c>
      <c r="I39" s="16" t="str">
        <f t="shared" ca="1" si="5"/>
        <v/>
      </c>
      <c r="J39" s="22" t="str">
        <f t="shared" si="2"/>
        <v/>
      </c>
      <c r="K39" s="16" t="str">
        <f t="shared" si="6"/>
        <v/>
      </c>
      <c r="L39" s="16"/>
    </row>
    <row r="40" spans="1:12" ht="14.5" x14ac:dyDescent="0.35">
      <c r="A40" s="16"/>
      <c r="B40" s="16"/>
      <c r="C40" s="16"/>
      <c r="D40" s="16"/>
      <c r="E40" s="22" t="str">
        <f ca="1">IFERROR(__xludf.dummyfunction("iferror(1000+INT(($N$2-(index(split(D40,"":""),1)*60+index(split(D40,"":""),2 )))/0.2+1)*$N$3,"""")"),"")</f>
        <v/>
      </c>
      <c r="F40" s="16" t="str">
        <f t="shared" ca="1" si="4"/>
        <v/>
      </c>
      <c r="G40" s="16"/>
      <c r="H40" s="22" t="str">
        <f ca="1">IFERROR(__xludf.dummyfunction("iferror(1000+INT(($N$4-(index(split(G40,"":""),1)*60+index(split(G40,"":""),2 )))/0.2+1)*$N$5,"""")"),"")</f>
        <v/>
      </c>
      <c r="I40" s="16" t="str">
        <f t="shared" ca="1" si="5"/>
        <v/>
      </c>
      <c r="J40" s="22" t="str">
        <f t="shared" si="2"/>
        <v/>
      </c>
      <c r="K40" s="16" t="str">
        <f t="shared" si="6"/>
        <v/>
      </c>
      <c r="L40" s="16"/>
    </row>
    <row r="41" spans="1:12" ht="14.5" x14ac:dyDescent="0.35">
      <c r="A41" s="16"/>
      <c r="B41" s="16"/>
      <c r="C41" s="16"/>
      <c r="D41" s="16"/>
      <c r="E41" s="22" t="str">
        <f ca="1">IFERROR(__xludf.dummyfunction("iferror(1000+INT(($N$2-(index(split(D41,"":""),1)*60+index(split(D41,"":""),2 )))/0.2+1)*$N$3,"""")"),"")</f>
        <v/>
      </c>
      <c r="F41" s="16" t="str">
        <f t="shared" ca="1" si="4"/>
        <v/>
      </c>
      <c r="G41" s="16"/>
      <c r="H41" s="22" t="str">
        <f ca="1">IFERROR(__xludf.dummyfunction("iferror(1000+INT(($N$4-(index(split(G41,"":""),1)*60+index(split(G41,"":""),2 )))/0.2+1)*$N$5,"""")"),"")</f>
        <v/>
      </c>
      <c r="I41" s="16" t="str">
        <f t="shared" ca="1" si="5"/>
        <v/>
      </c>
      <c r="J41" s="22" t="str">
        <f t="shared" si="2"/>
        <v/>
      </c>
      <c r="K41" s="16" t="str">
        <f t="shared" si="6"/>
        <v/>
      </c>
      <c r="L41" s="16"/>
    </row>
    <row r="42" spans="1:12" ht="14.5" x14ac:dyDescent="0.35">
      <c r="A42" s="16"/>
      <c r="B42" s="16"/>
      <c r="C42" s="16"/>
      <c r="D42" s="16"/>
      <c r="E42" s="22" t="str">
        <f ca="1">IFERROR(__xludf.dummyfunction("iferror(1000+INT(($N$2-(index(split(D42,"":""),1)*60+index(split(D42,"":""),2 )))/0.2+1)*$N$3,"""")"),"")</f>
        <v/>
      </c>
      <c r="F42" s="16" t="str">
        <f t="shared" ca="1" si="4"/>
        <v/>
      </c>
      <c r="G42" s="16"/>
      <c r="H42" s="22" t="str">
        <f ca="1">IFERROR(__xludf.dummyfunction("iferror(1000+INT(($N$4-(index(split(G42,"":""),1)*60+index(split(G42,"":""),2 )))/0.2+1)*$N$5,"""")"),"")</f>
        <v/>
      </c>
      <c r="I42" s="16" t="str">
        <f t="shared" ca="1" si="5"/>
        <v/>
      </c>
      <c r="J42" s="22" t="str">
        <f t="shared" si="2"/>
        <v/>
      </c>
      <c r="K42" s="16" t="str">
        <f t="shared" si="6"/>
        <v/>
      </c>
      <c r="L42" s="16"/>
    </row>
    <row r="43" spans="1:12" ht="14.5" x14ac:dyDescent="0.35">
      <c r="A43" s="16"/>
      <c r="B43" s="16"/>
      <c r="C43" s="16"/>
      <c r="D43" s="16"/>
      <c r="E43" s="22" t="str">
        <f ca="1">IFERROR(__xludf.dummyfunction("iferror(1000+INT(($N$2-(index(split(D43,"":""),1)*60+index(split(D43,"":""),2 )))/0.2+1)*$N$3,"""")"),"")</f>
        <v/>
      </c>
      <c r="F43" s="16" t="str">
        <f t="shared" ca="1" si="4"/>
        <v/>
      </c>
      <c r="G43" s="16"/>
      <c r="H43" s="22" t="str">
        <f ca="1">IFERROR(__xludf.dummyfunction("iferror(1000+INT(($N$4-(index(split(G43,"":""),1)*60+index(split(G43,"":""),2 )))/0.2+1)*$N$5,"""")"),"")</f>
        <v/>
      </c>
      <c r="I43" s="16" t="str">
        <f t="shared" ca="1" si="5"/>
        <v/>
      </c>
      <c r="J43" s="22" t="str">
        <f t="shared" si="2"/>
        <v/>
      </c>
      <c r="K43" s="16" t="str">
        <f t="shared" si="6"/>
        <v/>
      </c>
      <c r="L43" s="16"/>
    </row>
    <row r="44" spans="1:12" ht="14.5" x14ac:dyDescent="0.35">
      <c r="A44" s="16"/>
      <c r="B44" s="16"/>
      <c r="C44" s="16"/>
      <c r="D44" s="16"/>
      <c r="E44" s="22" t="str">
        <f ca="1">IFERROR(__xludf.dummyfunction("iferror(1000+INT(($N$2-(index(split(D44,"":""),1)*60+index(split(D44,"":""),2 )))/0.2+1)*$N$3,"""")"),"")</f>
        <v/>
      </c>
      <c r="F44" s="16" t="str">
        <f t="shared" ca="1" si="4"/>
        <v/>
      </c>
      <c r="G44" s="16"/>
      <c r="H44" s="22" t="str">
        <f ca="1">IFERROR(__xludf.dummyfunction("iferror(1000+INT(($N$4-(index(split(G44,"":""),1)*60+index(split(G44,"":""),2 )))/0.2+1)*$N$5,"""")"),"")</f>
        <v/>
      </c>
      <c r="I44" s="16" t="str">
        <f t="shared" ca="1" si="5"/>
        <v/>
      </c>
      <c r="J44" s="22" t="str">
        <f t="shared" si="2"/>
        <v/>
      </c>
      <c r="K44" s="16" t="str">
        <f t="shared" si="6"/>
        <v/>
      </c>
      <c r="L44" s="16"/>
    </row>
    <row r="45" spans="1:12" ht="14.5" x14ac:dyDescent="0.35">
      <c r="A45" s="16"/>
      <c r="B45" s="16"/>
      <c r="C45" s="16"/>
      <c r="D45" s="16"/>
      <c r="E45" s="22" t="str">
        <f ca="1">IFERROR(__xludf.dummyfunction("iferror(1000+INT(($N$2-(index(split(D45,"":""),1)*60+index(split(D45,"":""),2 )))/0.2+1)*$N$3,"""")"),"")</f>
        <v/>
      </c>
      <c r="F45" s="16" t="str">
        <f t="shared" ca="1" si="4"/>
        <v/>
      </c>
      <c r="G45" s="16"/>
      <c r="H45" s="22" t="str">
        <f ca="1">IFERROR(__xludf.dummyfunction("iferror(1000+INT(($N$4-(index(split(G45,"":""),1)*60+index(split(G45,"":""),2 )))/0.2+1)*$N$5,"""")"),"")</f>
        <v/>
      </c>
      <c r="I45" s="16" t="str">
        <f t="shared" ca="1" si="5"/>
        <v/>
      </c>
      <c r="J45" s="22" t="str">
        <f t="shared" si="2"/>
        <v/>
      </c>
      <c r="K45" s="16" t="str">
        <f t="shared" si="6"/>
        <v/>
      </c>
      <c r="L45" s="16"/>
    </row>
    <row r="46" spans="1:12" ht="14.5" x14ac:dyDescent="0.35">
      <c r="A46" s="16"/>
      <c r="B46" s="16"/>
      <c r="C46" s="16"/>
      <c r="D46" s="16"/>
      <c r="E46" s="22" t="str">
        <f ca="1">IFERROR(__xludf.dummyfunction("iferror(1000+INT(($N$2-(index(split(D46,"":""),1)*60+index(split(D46,"":""),2 )))/0.2+1)*$N$3,"""")"),"")</f>
        <v/>
      </c>
      <c r="F46" s="16" t="str">
        <f t="shared" ca="1" si="4"/>
        <v/>
      </c>
      <c r="G46" s="16"/>
      <c r="H46" s="22" t="str">
        <f ca="1">IFERROR(__xludf.dummyfunction("iferror(1000+INT(($N$4-(index(split(G46,"":""),1)*60+index(split(G46,"":""),2 )))/0.2+1)*$N$5,"""")"),"")</f>
        <v/>
      </c>
      <c r="I46" s="16" t="str">
        <f t="shared" ca="1" si="5"/>
        <v/>
      </c>
      <c r="J46" s="22" t="str">
        <f t="shared" si="2"/>
        <v/>
      </c>
      <c r="K46" s="16" t="str">
        <f t="shared" si="6"/>
        <v/>
      </c>
      <c r="L46" s="16"/>
    </row>
    <row r="47" spans="1:12" ht="14.5" x14ac:dyDescent="0.35">
      <c r="A47" s="16"/>
      <c r="B47" s="16"/>
      <c r="C47" s="16"/>
      <c r="D47" s="16"/>
      <c r="E47" s="22" t="str">
        <f ca="1">IFERROR(__xludf.dummyfunction("iferror(1000+INT(($N$2-(index(split(D47,"":""),1)*60+index(split(D47,"":""),2 )))/0.2+1)*$N$3,"""")"),"")</f>
        <v/>
      </c>
      <c r="F47" s="16" t="str">
        <f t="shared" ca="1" si="4"/>
        <v/>
      </c>
      <c r="G47" s="16"/>
      <c r="H47" s="22" t="str">
        <f ca="1">IFERROR(__xludf.dummyfunction("iferror(1000+INT(($N$4-(index(split(G47,"":""),1)*60+index(split(G47,"":""),2 )))/0.2+1)*$N$5,"""")"),"")</f>
        <v/>
      </c>
      <c r="I47" s="16" t="str">
        <f t="shared" ca="1" si="5"/>
        <v/>
      </c>
      <c r="J47" s="22" t="str">
        <f t="shared" si="2"/>
        <v/>
      </c>
      <c r="K47" s="16" t="str">
        <f t="shared" si="6"/>
        <v/>
      </c>
      <c r="L47" s="16"/>
    </row>
    <row r="48" spans="1:12" ht="14.5" x14ac:dyDescent="0.35">
      <c r="A48" s="16"/>
      <c r="B48" s="16"/>
      <c r="C48" s="16"/>
      <c r="D48" s="16"/>
      <c r="E48" s="22" t="str">
        <f ca="1">IFERROR(__xludf.dummyfunction("iferror(1000+INT(($N$2-(index(split(D48,"":""),1)*60+index(split(D48,"":""),2 )))/0.2+1)*$N$3,"""")"),"")</f>
        <v/>
      </c>
      <c r="F48" s="16" t="str">
        <f t="shared" ca="1" si="4"/>
        <v/>
      </c>
      <c r="G48" s="16"/>
      <c r="H48" s="22" t="str">
        <f ca="1">IFERROR(__xludf.dummyfunction("iferror(1000+INT(($N$4-(index(split(G48,"":""),1)*60+index(split(G48,"":""),2 )))/0.2+1)*$N$5,"""")"),"")</f>
        <v/>
      </c>
      <c r="I48" s="16" t="str">
        <f t="shared" ca="1" si="5"/>
        <v/>
      </c>
      <c r="J48" s="22" t="str">
        <f t="shared" si="2"/>
        <v/>
      </c>
      <c r="K48" s="16" t="str">
        <f t="shared" si="6"/>
        <v/>
      </c>
      <c r="L48" s="16"/>
    </row>
    <row r="49" spans="1:12" ht="14.5" x14ac:dyDescent="0.35">
      <c r="A49" s="16"/>
      <c r="B49" s="16"/>
      <c r="C49" s="16"/>
      <c r="D49" s="16"/>
      <c r="E49" s="22" t="str">
        <f ca="1">IFERROR(__xludf.dummyfunction("iferror(1000+INT(($N$2-(index(split(D49,"":""),1)*60+index(split(D49,"":""),2 )))/0.2+1)*$N$3,"""")"),"")</f>
        <v/>
      </c>
      <c r="F49" s="16" t="str">
        <f t="shared" ca="1" si="4"/>
        <v/>
      </c>
      <c r="G49" s="16"/>
      <c r="H49" s="22" t="str">
        <f ca="1">IFERROR(__xludf.dummyfunction("iferror(1000+INT(($N$4-(index(split(G49,"":""),1)*60+index(split(G49,"":""),2 )))/0.2+1)*$N$5,"""")"),"")</f>
        <v/>
      </c>
      <c r="I49" s="16" t="str">
        <f t="shared" ca="1" si="5"/>
        <v/>
      </c>
      <c r="J49" s="22" t="str">
        <f t="shared" si="2"/>
        <v/>
      </c>
      <c r="K49" s="16" t="str">
        <f t="shared" si="6"/>
        <v/>
      </c>
      <c r="L49" s="16"/>
    </row>
    <row r="50" spans="1:12" ht="14.5" x14ac:dyDescent="0.35">
      <c r="A50" s="16"/>
      <c r="B50" s="16"/>
      <c r="C50" s="16"/>
      <c r="D50" s="16"/>
      <c r="E50" s="22" t="str">
        <f ca="1">IFERROR(__xludf.dummyfunction("iferror(1000+INT(($N$2-(index(split(D50,"":""),1)*60+index(split(D50,"":""),2 )))/0.2+1)*$N$3,"""")"),"")</f>
        <v/>
      </c>
      <c r="F50" s="16" t="str">
        <f t="shared" ca="1" si="4"/>
        <v/>
      </c>
      <c r="G50" s="16"/>
      <c r="H50" s="22" t="str">
        <f ca="1">IFERROR(__xludf.dummyfunction("iferror(1000+INT(($N$4-(index(split(G50,"":""),1)*60+index(split(G50,"":""),2 )))/0.2+1)*$N$5,"""")"),"")</f>
        <v/>
      </c>
      <c r="I50" s="16" t="str">
        <f t="shared" ca="1" si="5"/>
        <v/>
      </c>
      <c r="J50" s="22" t="str">
        <f t="shared" si="2"/>
        <v/>
      </c>
      <c r="K50" s="16" t="str">
        <f t="shared" si="6"/>
        <v/>
      </c>
      <c r="L50" s="16"/>
    </row>
    <row r="51" spans="1:12" ht="14.5" x14ac:dyDescent="0.35">
      <c r="A51" s="16"/>
      <c r="B51" s="16"/>
      <c r="C51" s="16"/>
      <c r="D51" s="16"/>
      <c r="E51" s="22" t="str">
        <f ca="1">IFERROR(__xludf.dummyfunction("iferror(1000+INT(($N$2-(index(split(D51,"":""),1)*60+index(split(D51,"":""),2 )))/0.2+1)*$N$3,"""")"),"")</f>
        <v/>
      </c>
      <c r="F51" s="16" t="str">
        <f t="shared" ca="1" si="4"/>
        <v/>
      </c>
      <c r="G51" s="16"/>
      <c r="H51" s="22" t="str">
        <f ca="1">IFERROR(__xludf.dummyfunction("iferror(1000+INT(($N$4-(index(split(G51,"":""),1)*60+index(split(G51,"":""),2 )))/0.2+1)*$N$5,"""")"),"")</f>
        <v/>
      </c>
      <c r="I51" s="16" t="str">
        <f t="shared" ca="1" si="5"/>
        <v/>
      </c>
      <c r="J51" s="22" t="str">
        <f t="shared" si="2"/>
        <v/>
      </c>
      <c r="K51" s="16" t="str">
        <f t="shared" si="6"/>
        <v/>
      </c>
      <c r="L51" s="16"/>
    </row>
    <row r="52" spans="1:12" ht="14.5" x14ac:dyDescent="0.35">
      <c r="A52" s="16"/>
      <c r="B52" s="16"/>
      <c r="C52" s="16"/>
      <c r="D52" s="16"/>
      <c r="E52" s="22" t="str">
        <f ca="1">IFERROR(__xludf.dummyfunction("iferror(1000+INT(($N$2-(index(split(D52,"":""),1)*60+index(split(D52,"":""),2 )))/0.2+1)*$N$3,"""")"),"")</f>
        <v/>
      </c>
      <c r="F52" s="16" t="str">
        <f t="shared" ca="1" si="4"/>
        <v/>
      </c>
      <c r="G52" s="16"/>
      <c r="H52" s="22" t="str">
        <f ca="1">IFERROR(__xludf.dummyfunction("iferror(1000+INT(($N$4-(index(split(G52,"":""),1)*60+index(split(G52,"":""),2 )))/0.2+1)*$N$5,"""")"),"")</f>
        <v/>
      </c>
      <c r="I52" s="16" t="str">
        <f t="shared" ca="1" si="5"/>
        <v/>
      </c>
      <c r="J52" s="22" t="str">
        <f t="shared" si="2"/>
        <v/>
      </c>
      <c r="K52" s="16" t="str">
        <f t="shared" si="6"/>
        <v/>
      </c>
      <c r="L52" s="16"/>
    </row>
    <row r="53" spans="1:12" ht="14.5" x14ac:dyDescent="0.35">
      <c r="A53" s="16"/>
      <c r="B53" s="16"/>
      <c r="C53" s="16"/>
      <c r="D53" s="16"/>
      <c r="E53" s="22" t="str">
        <f ca="1">IFERROR(__xludf.dummyfunction("iferror(1000+INT(($N$2-(index(split(D53,"":""),1)*60+index(split(D53,"":""),2 )))/0.2+1)*$N$3,"""")"),"")</f>
        <v/>
      </c>
      <c r="F53" s="16" t="str">
        <f t="shared" ca="1" si="4"/>
        <v/>
      </c>
      <c r="G53" s="16"/>
      <c r="H53" s="22" t="str">
        <f ca="1">IFERROR(__xludf.dummyfunction("iferror(1000+INT(($N$4-(index(split(G53,"":""),1)*60+index(split(G53,"":""),2 )))/0.2+1)*$N$5,"""")"),"")</f>
        <v/>
      </c>
      <c r="I53" s="16" t="str">
        <f t="shared" ca="1" si="5"/>
        <v/>
      </c>
      <c r="J53" s="22" t="str">
        <f t="shared" si="2"/>
        <v/>
      </c>
      <c r="K53" s="16" t="str">
        <f t="shared" si="6"/>
        <v/>
      </c>
      <c r="L53" s="16"/>
    </row>
    <row r="54" spans="1:12" ht="14.5" x14ac:dyDescent="0.35">
      <c r="A54" s="16"/>
      <c r="B54" s="16"/>
      <c r="C54" s="16"/>
      <c r="D54" s="16"/>
      <c r="E54" s="22" t="str">
        <f ca="1">IFERROR(__xludf.dummyfunction("iferror(1000+INT(($N$2-(index(split(D54,"":""),1)*60+index(split(D54,"":""),2 )))/0.2+1)*$N$3,"""")"),"")</f>
        <v/>
      </c>
      <c r="F54" s="16" t="str">
        <f t="shared" ca="1" si="4"/>
        <v/>
      </c>
      <c r="G54" s="16"/>
      <c r="H54" s="22" t="str">
        <f ca="1">IFERROR(__xludf.dummyfunction("iferror(1000+INT(($N$4-(index(split(G54,"":""),1)*60+index(split(G54,"":""),2 )))/0.2+1)*$N$5,"""")"),"")</f>
        <v/>
      </c>
      <c r="I54" s="16" t="str">
        <f t="shared" ca="1" si="5"/>
        <v/>
      </c>
      <c r="J54" s="22" t="str">
        <f t="shared" si="2"/>
        <v/>
      </c>
      <c r="K54" s="16" t="str">
        <f t="shared" si="6"/>
        <v/>
      </c>
      <c r="L54" s="16"/>
    </row>
    <row r="55" spans="1:12" ht="14.5" x14ac:dyDescent="0.35">
      <c r="A55" s="16"/>
      <c r="B55" s="16"/>
      <c r="C55" s="16"/>
      <c r="D55" s="16"/>
      <c r="E55" s="22" t="str">
        <f ca="1">IFERROR(__xludf.dummyfunction("iferror(1000+INT(($N$2-(index(split(D55,"":""),1)*60+index(split(D55,"":""),2 )))/0.2+1)*$N$3,"""")"),"")</f>
        <v/>
      </c>
      <c r="F55" s="16" t="str">
        <f t="shared" ca="1" si="4"/>
        <v/>
      </c>
      <c r="G55" s="16"/>
      <c r="H55" s="22" t="str">
        <f ca="1">IFERROR(__xludf.dummyfunction("iferror(1000+INT(($N$4-(index(split(G55,"":""),1)*60+index(split(G55,"":""),2 )))/0.2+1)*$N$5,"""")"),"")</f>
        <v/>
      </c>
      <c r="I55" s="16" t="str">
        <f t="shared" ca="1" si="5"/>
        <v/>
      </c>
      <c r="J55" s="22" t="str">
        <f t="shared" si="2"/>
        <v/>
      </c>
      <c r="K55" s="16" t="str">
        <f t="shared" si="6"/>
        <v/>
      </c>
      <c r="L55" s="16"/>
    </row>
    <row r="56" spans="1:12" ht="14.5" x14ac:dyDescent="0.35">
      <c r="A56" s="16"/>
      <c r="B56" s="16"/>
      <c r="C56" s="16"/>
      <c r="D56" s="16"/>
      <c r="E56" s="22" t="str">
        <f ca="1">IFERROR(__xludf.dummyfunction("iferror(1000+INT(($N$2-(index(split(D56,"":""),1)*60+index(split(D56,"":""),2 )))/0.2+1)*$N$3,"""")"),"")</f>
        <v/>
      </c>
      <c r="F56" s="16" t="str">
        <f t="shared" ca="1" si="4"/>
        <v/>
      </c>
      <c r="G56" s="16"/>
      <c r="H56" s="22" t="str">
        <f ca="1">IFERROR(__xludf.dummyfunction("iferror(1000+INT(($N$4-(index(split(G56,"":""),1)*60+index(split(G56,"":""),2 )))/0.2+1)*$N$5,"""")"),"")</f>
        <v/>
      </c>
      <c r="I56" s="16" t="str">
        <f t="shared" ca="1" si="5"/>
        <v/>
      </c>
      <c r="J56" s="16" t="str">
        <f t="shared" ref="J34:J65" si="7">IF(AND(D56="", G56=""), "", E56+H56)</f>
        <v/>
      </c>
      <c r="K56" s="16" t="str">
        <f t="shared" si="6"/>
        <v/>
      </c>
      <c r="L56" s="16"/>
    </row>
    <row r="57" spans="1:12" ht="14.5" x14ac:dyDescent="0.35">
      <c r="A57" s="16"/>
      <c r="B57" s="16"/>
      <c r="C57" s="16"/>
      <c r="D57" s="16"/>
      <c r="E57" s="22" t="str">
        <f ca="1">IFERROR(__xludf.dummyfunction("iferror(1000+INT(($N$2-(index(split(D57,"":""),1)*60+index(split(D57,"":""),2 )))/0.2+1)*$N$3,"""")"),"")</f>
        <v/>
      </c>
      <c r="F57" s="16" t="str">
        <f t="shared" ca="1" si="4"/>
        <v/>
      </c>
      <c r="G57" s="16"/>
      <c r="H57" s="22" t="str">
        <f ca="1">IFERROR(__xludf.dummyfunction("iferror(1000+INT(($N$4-(index(split(G57,"":""),1)*60+index(split(G57,"":""),2 )))/0.2+1)*$N$5,"""")"),"")</f>
        <v/>
      </c>
      <c r="I57" s="16" t="str">
        <f t="shared" ca="1" si="5"/>
        <v/>
      </c>
      <c r="J57" s="16" t="str">
        <f t="shared" si="7"/>
        <v/>
      </c>
      <c r="K57" s="16" t="str">
        <f t="shared" si="6"/>
        <v/>
      </c>
      <c r="L57" s="16"/>
    </row>
    <row r="58" spans="1:12" ht="14.5" x14ac:dyDescent="0.35">
      <c r="A58" s="16"/>
      <c r="B58" s="16"/>
      <c r="C58" s="16"/>
      <c r="D58" s="16"/>
      <c r="E58" s="22" t="str">
        <f ca="1">IFERROR(__xludf.dummyfunction("iferror(1000+INT(($N$2-(index(split(D58,"":""),1)*60+index(split(D58,"":""),2 )))/0.2+1)*$N$3,"""")"),"")</f>
        <v/>
      </c>
      <c r="F58" s="16" t="str">
        <f t="shared" ca="1" si="4"/>
        <v/>
      </c>
      <c r="G58" s="16"/>
      <c r="H58" s="22" t="str">
        <f ca="1">IFERROR(__xludf.dummyfunction("iferror(1000+INT(($N$4-(index(split(G58,"":""),1)*60+index(split(G58,"":""),2 )))/0.2+1)*$N$5,"""")"),"")</f>
        <v/>
      </c>
      <c r="I58" s="16" t="str">
        <f t="shared" ca="1" si="5"/>
        <v/>
      </c>
      <c r="J58" s="16" t="str">
        <f t="shared" si="7"/>
        <v/>
      </c>
      <c r="K58" s="16" t="str">
        <f t="shared" si="6"/>
        <v/>
      </c>
      <c r="L58" s="16"/>
    </row>
    <row r="59" spans="1:12" ht="14.5" x14ac:dyDescent="0.35">
      <c r="A59" s="16"/>
      <c r="B59" s="16"/>
      <c r="C59" s="16"/>
      <c r="D59" s="16"/>
      <c r="E59" s="22" t="str">
        <f ca="1">IFERROR(__xludf.dummyfunction("iferror(1000+INT(($N$2-(index(split(D59,"":""),1)*60+index(split(D59,"":""),2 )))/0.2+1)*$N$3,"""")"),"")</f>
        <v/>
      </c>
      <c r="F59" s="16" t="str">
        <f t="shared" ca="1" si="4"/>
        <v/>
      </c>
      <c r="G59" s="16"/>
      <c r="H59" s="22" t="str">
        <f ca="1">IFERROR(__xludf.dummyfunction("iferror(1000+INT(($N$4-(index(split(G59,"":""),1)*60+index(split(G59,"":""),2 )))/0.2+1)*$N$5,"""")"),"")</f>
        <v/>
      </c>
      <c r="I59" s="16" t="str">
        <f t="shared" ca="1" si="5"/>
        <v/>
      </c>
      <c r="J59" s="16" t="str">
        <f t="shared" si="7"/>
        <v/>
      </c>
      <c r="K59" s="16" t="str">
        <f t="shared" si="6"/>
        <v/>
      </c>
      <c r="L59" s="16"/>
    </row>
    <row r="60" spans="1:12" ht="14.5" x14ac:dyDescent="0.35">
      <c r="A60" s="16"/>
      <c r="B60" s="16"/>
      <c r="C60" s="16"/>
      <c r="D60" s="16"/>
      <c r="E60" s="22" t="str">
        <f ca="1">IFERROR(__xludf.dummyfunction("iferror(1000+INT(($N$2-(index(split(D60,"":""),1)*60+index(split(D60,"":""),2 )))/0.2+1)*$N$3,"""")"),"")</f>
        <v/>
      </c>
      <c r="F60" s="16" t="str">
        <f t="shared" ca="1" si="4"/>
        <v/>
      </c>
      <c r="G60" s="16"/>
      <c r="H60" s="22" t="str">
        <f ca="1">IFERROR(__xludf.dummyfunction("iferror(1000+INT(($N$4-(index(split(G60,"":""),1)*60+index(split(G60,"":""),2 )))/0.2+1)*$N$5,"""")"),"")</f>
        <v/>
      </c>
      <c r="I60" s="16" t="str">
        <f t="shared" ca="1" si="5"/>
        <v/>
      </c>
      <c r="J60" s="16" t="str">
        <f t="shared" si="7"/>
        <v/>
      </c>
      <c r="K60" s="16" t="str">
        <f t="shared" si="6"/>
        <v/>
      </c>
      <c r="L60" s="16"/>
    </row>
    <row r="61" spans="1:12" ht="14.5" x14ac:dyDescent="0.35">
      <c r="A61" s="16"/>
      <c r="B61" s="16"/>
      <c r="C61" s="16"/>
      <c r="D61" s="16"/>
      <c r="E61" s="22" t="str">
        <f ca="1">IFERROR(__xludf.dummyfunction("iferror(1000+INT(($N$2-(index(split(D61,"":""),1)*60+index(split(D61,"":""),2 )))/0.2+1)*$N$3,"""")"),"")</f>
        <v/>
      </c>
      <c r="F61" s="16" t="str">
        <f t="shared" ca="1" si="4"/>
        <v/>
      </c>
      <c r="G61" s="16"/>
      <c r="H61" s="22" t="str">
        <f ca="1">IFERROR(__xludf.dummyfunction("iferror(1000+INT(($N$4-(index(split(G61,"":""),1)*60+index(split(G61,"":""),2 )))/0.2+1)*$N$5,"""")"),"")</f>
        <v/>
      </c>
      <c r="I61" s="16" t="str">
        <f t="shared" ca="1" si="5"/>
        <v/>
      </c>
      <c r="J61" s="16" t="str">
        <f t="shared" si="7"/>
        <v/>
      </c>
      <c r="K61" s="16" t="str">
        <f t="shared" si="6"/>
        <v/>
      </c>
      <c r="L61" s="16"/>
    </row>
    <row r="62" spans="1:12" ht="14.5" x14ac:dyDescent="0.35">
      <c r="A62" s="16"/>
      <c r="B62" s="16"/>
      <c r="C62" s="16"/>
      <c r="D62" s="16"/>
      <c r="E62" s="22" t="str">
        <f ca="1">IFERROR(__xludf.dummyfunction("iferror(1000+INT(($N$2-(index(split(D62,"":""),1)*60+index(split(D62,"":""),2 )))/0.2+1)*$N$3,"""")"),"")</f>
        <v/>
      </c>
      <c r="F62" s="16" t="str">
        <f t="shared" ca="1" si="4"/>
        <v/>
      </c>
      <c r="G62" s="16"/>
      <c r="H62" s="22" t="str">
        <f ca="1">IFERROR(__xludf.dummyfunction("iferror(1000+INT(($N$4-(index(split(G62,"":""),1)*60+index(split(G62,"":""),2 )))/0.2+1)*$N$5,"""")"),"")</f>
        <v/>
      </c>
      <c r="I62" s="16" t="str">
        <f t="shared" ca="1" si="5"/>
        <v/>
      </c>
      <c r="J62" s="16" t="str">
        <f t="shared" si="7"/>
        <v/>
      </c>
      <c r="K62" s="16" t="str">
        <f t="shared" si="6"/>
        <v/>
      </c>
      <c r="L62" s="16"/>
    </row>
    <row r="63" spans="1:12" ht="14.5" x14ac:dyDescent="0.35">
      <c r="A63" s="16"/>
      <c r="B63" s="16"/>
      <c r="C63" s="16"/>
      <c r="D63" s="16"/>
      <c r="E63" s="22" t="str">
        <f ca="1">IFERROR(__xludf.dummyfunction("iferror(1000+INT(($N$2-(index(split(D63,"":""),1)*60+index(split(D63,"":""),2 )))/0.2+1)*$N$3,"""")"),"")</f>
        <v/>
      </c>
      <c r="F63" s="16" t="str">
        <f t="shared" ca="1" si="4"/>
        <v/>
      </c>
      <c r="G63" s="16"/>
      <c r="H63" s="22" t="str">
        <f ca="1">IFERROR(__xludf.dummyfunction("iferror(1000+INT(($N$4-(index(split(G63,"":""),1)*60+index(split(G63,"":""),2 )))/0.2+1)*$N$5,"""")"),"")</f>
        <v/>
      </c>
      <c r="I63" s="16" t="str">
        <f t="shared" ca="1" si="5"/>
        <v/>
      </c>
      <c r="J63" s="16" t="str">
        <f t="shared" si="7"/>
        <v/>
      </c>
      <c r="K63" s="16" t="str">
        <f t="shared" si="6"/>
        <v/>
      </c>
      <c r="L63" s="16"/>
    </row>
    <row r="64" spans="1:12" ht="14.5" x14ac:dyDescent="0.35">
      <c r="A64" s="16"/>
      <c r="B64" s="16"/>
      <c r="C64" s="16"/>
      <c r="D64" s="16"/>
      <c r="E64" s="22" t="str">
        <f ca="1">IFERROR(__xludf.dummyfunction("iferror(1000+INT(($N$2-(index(split(D64,"":""),1)*60+index(split(D64,"":""),2 )))/0.2+1)*$N$3,"""")"),"")</f>
        <v/>
      </c>
      <c r="F64" s="16" t="str">
        <f t="shared" ca="1" si="4"/>
        <v/>
      </c>
      <c r="G64" s="16"/>
      <c r="H64" s="22" t="str">
        <f ca="1">IFERROR(__xludf.dummyfunction("iferror(1000+INT(($N$4-(index(split(G64,"":""),1)*60+index(split(G64,"":""),2 )))/0.2+1)*$N$5,"""")"),"")</f>
        <v/>
      </c>
      <c r="I64" s="16" t="str">
        <f t="shared" ca="1" si="5"/>
        <v/>
      </c>
      <c r="J64" s="16" t="str">
        <f t="shared" si="7"/>
        <v/>
      </c>
      <c r="K64" s="16" t="str">
        <f t="shared" si="6"/>
        <v/>
      </c>
      <c r="L64" s="16"/>
    </row>
    <row r="65" spans="1:12" ht="14.5" x14ac:dyDescent="0.35">
      <c r="A65" s="16"/>
      <c r="B65" s="16"/>
      <c r="C65" s="16"/>
      <c r="D65" s="16"/>
      <c r="E65" s="22" t="str">
        <f ca="1">IFERROR(__xludf.dummyfunction("iferror(1000+INT(($N$2-(index(split(D65,"":""),1)*60+index(split(D65,"":""),2 )))/0.2+1)*$N$3,"""")"),"")</f>
        <v/>
      </c>
      <c r="F65" s="16" t="str">
        <f t="shared" ca="1" si="4"/>
        <v/>
      </c>
      <c r="G65" s="16"/>
      <c r="H65" s="22" t="str">
        <f ca="1">IFERROR(__xludf.dummyfunction("iferror(1000+INT(($N$4-(index(split(G65,"":""),1)*60+index(split(G65,"":""),2 )))/0.2+1)*$N$5,"""")"),"")</f>
        <v/>
      </c>
      <c r="I65" s="16" t="str">
        <f t="shared" ca="1" si="5"/>
        <v/>
      </c>
      <c r="J65" s="16" t="str">
        <f t="shared" si="7"/>
        <v/>
      </c>
      <c r="K65" s="16" t="str">
        <f t="shared" si="6"/>
        <v/>
      </c>
      <c r="L65" s="16"/>
    </row>
    <row r="66" spans="1:12" ht="14.5" x14ac:dyDescent="0.35">
      <c r="A66" s="16"/>
      <c r="B66" s="16"/>
      <c r="C66" s="16"/>
      <c r="D66" s="16"/>
      <c r="E66" s="22" t="str">
        <f ca="1">IFERROR(__xludf.dummyfunction("iferror(1000+INT(($N$2-(index(split(D66,"":""),1)*60+index(split(D66,"":""),2 )))/0.2+1)*$N$3,"""")"),"")</f>
        <v/>
      </c>
      <c r="F66" s="16" t="str">
        <f t="shared" ref="F66:F97" ca="1" si="8">IFERROR(_xlfn.RANK.EQ(E66,E:E),"")</f>
        <v/>
      </c>
      <c r="G66" s="16"/>
      <c r="H66" s="22" t="str">
        <f ca="1">IFERROR(__xludf.dummyfunction("iferror(1000+INT(($N$4-(index(split(G66,"":""),1)*60+index(split(G66,"":""),2 )))/0.2+1)*$N$5,"""")"),"")</f>
        <v/>
      </c>
      <c r="I66" s="16" t="str">
        <f t="shared" ref="I66:I97" ca="1" si="9">IFERROR(_xlfn.RANK.EQ(H66,H:H),"")</f>
        <v/>
      </c>
      <c r="J66" s="16" t="str">
        <f t="shared" ref="J66:J100" si="10">IF(AND(D66="", G66=""), "", E66+H66)</f>
        <v/>
      </c>
      <c r="K66" s="16" t="str">
        <f t="shared" ref="K66:K97" si="11">IFERROR(_xlfn.RANK.EQ(J66,J:J),"")</f>
        <v/>
      </c>
      <c r="L66" s="16"/>
    </row>
    <row r="67" spans="1:12" ht="14.5" x14ac:dyDescent="0.35">
      <c r="A67" s="16"/>
      <c r="B67" s="16"/>
      <c r="C67" s="16"/>
      <c r="D67" s="16"/>
      <c r="E67" s="22" t="str">
        <f ca="1">IFERROR(__xludf.dummyfunction("iferror(1000+INT(($N$2-(index(split(D67,"":""),1)*60+index(split(D67,"":""),2 )))/0.2+1)*$N$3,"""")"),"")</f>
        <v/>
      </c>
      <c r="F67" s="16" t="str">
        <f t="shared" ca="1" si="8"/>
        <v/>
      </c>
      <c r="G67" s="16"/>
      <c r="H67" s="22" t="str">
        <f ca="1">IFERROR(__xludf.dummyfunction("iferror(1000+INT(($N$4-(index(split(G67,"":""),1)*60+index(split(G67,"":""),2 )))/0.2+1)*$N$5,"""")"),"")</f>
        <v/>
      </c>
      <c r="I67" s="16" t="str">
        <f t="shared" ca="1" si="9"/>
        <v/>
      </c>
      <c r="J67" s="16" t="str">
        <f t="shared" si="10"/>
        <v/>
      </c>
      <c r="K67" s="16" t="str">
        <f t="shared" si="11"/>
        <v/>
      </c>
      <c r="L67" s="16"/>
    </row>
    <row r="68" spans="1:12" ht="14.5" x14ac:dyDescent="0.35">
      <c r="A68" s="16"/>
      <c r="B68" s="16"/>
      <c r="C68" s="16"/>
      <c r="D68" s="16"/>
      <c r="E68" s="22" t="str">
        <f ca="1">IFERROR(__xludf.dummyfunction("iferror(1000+INT(($N$2-(index(split(D68,"":""),1)*60+index(split(D68,"":""),2 )))/0.2+1)*$N$3,"""")"),"")</f>
        <v/>
      </c>
      <c r="F68" s="16" t="str">
        <f t="shared" ca="1" si="8"/>
        <v/>
      </c>
      <c r="G68" s="16"/>
      <c r="H68" s="22" t="str">
        <f ca="1">IFERROR(__xludf.dummyfunction("iferror(1000+INT(($N$4-(index(split(G68,"":""),1)*60+index(split(G68,"":""),2 )))/0.2+1)*$N$5,"""")"),"")</f>
        <v/>
      </c>
      <c r="I68" s="16" t="str">
        <f t="shared" ca="1" si="9"/>
        <v/>
      </c>
      <c r="J68" s="16" t="str">
        <f t="shared" si="10"/>
        <v/>
      </c>
      <c r="K68" s="16" t="str">
        <f t="shared" si="11"/>
        <v/>
      </c>
      <c r="L68" s="16"/>
    </row>
    <row r="69" spans="1:12" ht="14.5" x14ac:dyDescent="0.35">
      <c r="A69" s="16"/>
      <c r="B69" s="16"/>
      <c r="C69" s="16"/>
      <c r="D69" s="16"/>
      <c r="E69" s="22" t="str">
        <f ca="1">IFERROR(__xludf.dummyfunction("iferror(1000+INT(($N$2-(index(split(D69,"":""),1)*60+index(split(D69,"":""),2 )))/0.2+1)*$N$3,"""")"),"")</f>
        <v/>
      </c>
      <c r="F69" s="16" t="str">
        <f t="shared" ca="1" si="8"/>
        <v/>
      </c>
      <c r="G69" s="16"/>
      <c r="H69" s="22" t="str">
        <f ca="1">IFERROR(__xludf.dummyfunction("iferror(1000+INT(($N$4-(index(split(G69,"":""),1)*60+index(split(G69,"":""),2 )))/0.2+1)*$N$5,"""")"),"")</f>
        <v/>
      </c>
      <c r="I69" s="16" t="str">
        <f t="shared" ca="1" si="9"/>
        <v/>
      </c>
      <c r="J69" s="16" t="str">
        <f t="shared" si="10"/>
        <v/>
      </c>
      <c r="K69" s="16" t="str">
        <f t="shared" si="11"/>
        <v/>
      </c>
      <c r="L69" s="16"/>
    </row>
    <row r="70" spans="1:12" ht="14.5" x14ac:dyDescent="0.35">
      <c r="A70" s="16"/>
      <c r="B70" s="16"/>
      <c r="C70" s="16"/>
      <c r="D70" s="16"/>
      <c r="E70" s="22" t="str">
        <f ca="1">IFERROR(__xludf.dummyfunction("iferror(1000+INT(($N$2-(index(split(D70,"":""),1)*60+index(split(D70,"":""),2 )))/0.2+1)*$N$3,"""")"),"")</f>
        <v/>
      </c>
      <c r="F70" s="16" t="str">
        <f t="shared" ca="1" si="8"/>
        <v/>
      </c>
      <c r="G70" s="16"/>
      <c r="H70" s="22" t="str">
        <f ca="1">IFERROR(__xludf.dummyfunction("iferror(1000+INT(($N$4-(index(split(G70,"":""),1)*60+index(split(G70,"":""),2 )))/0.2+1)*$N$5,"""")"),"")</f>
        <v/>
      </c>
      <c r="I70" s="16" t="str">
        <f t="shared" ca="1" si="9"/>
        <v/>
      </c>
      <c r="J70" s="16" t="str">
        <f t="shared" si="10"/>
        <v/>
      </c>
      <c r="K70" s="16" t="str">
        <f t="shared" si="11"/>
        <v/>
      </c>
      <c r="L70" s="16"/>
    </row>
    <row r="71" spans="1:12" ht="14.5" x14ac:dyDescent="0.35">
      <c r="A71" s="16"/>
      <c r="B71" s="16"/>
      <c r="C71" s="16"/>
      <c r="D71" s="16"/>
      <c r="E71" s="22" t="str">
        <f ca="1">IFERROR(__xludf.dummyfunction("iferror(1000+INT(($N$2-(index(split(D71,"":""),1)*60+index(split(D71,"":""),2 )))/0.2+1)*$N$3,"""")"),"")</f>
        <v/>
      </c>
      <c r="F71" s="16" t="str">
        <f t="shared" ca="1" si="8"/>
        <v/>
      </c>
      <c r="G71" s="16"/>
      <c r="H71" s="22" t="str">
        <f ca="1">IFERROR(__xludf.dummyfunction("iferror(1000+INT(($N$4-(index(split(G71,"":""),1)*60+index(split(G71,"":""),2 )))/0.2+1)*$N$5,"""")"),"")</f>
        <v/>
      </c>
      <c r="I71" s="16" t="str">
        <f t="shared" ca="1" si="9"/>
        <v/>
      </c>
      <c r="J71" s="16" t="str">
        <f t="shared" si="10"/>
        <v/>
      </c>
      <c r="K71" s="16" t="str">
        <f t="shared" si="11"/>
        <v/>
      </c>
      <c r="L71" s="16"/>
    </row>
    <row r="72" spans="1:12" ht="14.5" x14ac:dyDescent="0.35">
      <c r="A72" s="16"/>
      <c r="B72" s="16"/>
      <c r="C72" s="16"/>
      <c r="D72" s="16"/>
      <c r="E72" s="22" t="str">
        <f ca="1">IFERROR(__xludf.dummyfunction("iferror(1000+INT(($N$2-(index(split(D72,"":""),1)*60+index(split(D72,"":""),2 )))/0.2+1)*$N$3,"""")"),"")</f>
        <v/>
      </c>
      <c r="F72" s="16" t="str">
        <f t="shared" ca="1" si="8"/>
        <v/>
      </c>
      <c r="G72" s="16"/>
      <c r="H72" s="22" t="str">
        <f ca="1">IFERROR(__xludf.dummyfunction("iferror(1000+INT(($N$4-(index(split(G72,"":""),1)*60+index(split(G72,"":""),2 )))/0.2+1)*$N$5,"""")"),"")</f>
        <v/>
      </c>
      <c r="I72" s="16" t="str">
        <f t="shared" ca="1" si="9"/>
        <v/>
      </c>
      <c r="J72" s="16" t="str">
        <f t="shared" si="10"/>
        <v/>
      </c>
      <c r="K72" s="16" t="str">
        <f t="shared" si="11"/>
        <v/>
      </c>
      <c r="L72" s="16"/>
    </row>
    <row r="73" spans="1:12" ht="14.5" x14ac:dyDescent="0.35">
      <c r="A73" s="16"/>
      <c r="B73" s="16"/>
      <c r="C73" s="16"/>
      <c r="D73" s="16"/>
      <c r="E73" s="22" t="str">
        <f ca="1">IFERROR(__xludf.dummyfunction("iferror(1000+INT(($N$2-(index(split(D73,"":""),1)*60+index(split(D73,"":""),2 )))/0.2+1)*$N$3,"""")"),"")</f>
        <v/>
      </c>
      <c r="F73" s="16" t="str">
        <f t="shared" ca="1" si="8"/>
        <v/>
      </c>
      <c r="G73" s="16"/>
      <c r="H73" s="22" t="str">
        <f ca="1">IFERROR(__xludf.dummyfunction("iferror(1000+INT(($N$4-(index(split(G73,"":""),1)*60+index(split(G73,"":""),2 )))/0.2+1)*$N$5,"""")"),"")</f>
        <v/>
      </c>
      <c r="I73" s="16" t="str">
        <f t="shared" ca="1" si="9"/>
        <v/>
      </c>
      <c r="J73" s="16" t="str">
        <f t="shared" si="10"/>
        <v/>
      </c>
      <c r="K73" s="16" t="str">
        <f t="shared" si="11"/>
        <v/>
      </c>
      <c r="L73" s="16"/>
    </row>
    <row r="74" spans="1:12" ht="14.5" x14ac:dyDescent="0.35">
      <c r="A74" s="16"/>
      <c r="B74" s="16"/>
      <c r="C74" s="16"/>
      <c r="D74" s="16"/>
      <c r="E74" s="22" t="str">
        <f ca="1">IFERROR(__xludf.dummyfunction("iferror(1000+INT(($N$2-(index(split(D74,"":""),1)*60+index(split(D74,"":""),2 )))/0.2+1)*$N$3,"""")"),"")</f>
        <v/>
      </c>
      <c r="F74" s="16" t="str">
        <f t="shared" ca="1" si="8"/>
        <v/>
      </c>
      <c r="G74" s="16"/>
      <c r="H74" s="22" t="str">
        <f ca="1">IFERROR(__xludf.dummyfunction("iferror(1000+INT(($N$4-(index(split(G74,"":""),1)*60+index(split(G74,"":""),2 )))/0.2+1)*$N$5,"""")"),"")</f>
        <v/>
      </c>
      <c r="I74" s="16" t="str">
        <f t="shared" ca="1" si="9"/>
        <v/>
      </c>
      <c r="J74" s="16" t="str">
        <f t="shared" si="10"/>
        <v/>
      </c>
      <c r="K74" s="16" t="str">
        <f t="shared" si="11"/>
        <v/>
      </c>
      <c r="L74" s="16"/>
    </row>
    <row r="75" spans="1:12" ht="14.5" x14ac:dyDescent="0.35">
      <c r="A75" s="16"/>
      <c r="B75" s="16"/>
      <c r="C75" s="16"/>
      <c r="D75" s="16"/>
      <c r="E75" s="22" t="str">
        <f ca="1">IFERROR(__xludf.dummyfunction("iferror(1000+INT(($N$2-(index(split(D75,"":""),1)*60+index(split(D75,"":""),2 )))/0.2+1)*$N$3,"""")"),"")</f>
        <v/>
      </c>
      <c r="F75" s="16" t="str">
        <f t="shared" ca="1" si="8"/>
        <v/>
      </c>
      <c r="G75" s="16"/>
      <c r="H75" s="22" t="str">
        <f ca="1">IFERROR(__xludf.dummyfunction("iferror(1000+INT(($N$4-(index(split(G75,"":""),1)*60+index(split(G75,"":""),2 )))/0.2+1)*$N$5,"""")"),"")</f>
        <v/>
      </c>
      <c r="I75" s="16" t="str">
        <f t="shared" ca="1" si="9"/>
        <v/>
      </c>
      <c r="J75" s="16" t="str">
        <f t="shared" si="10"/>
        <v/>
      </c>
      <c r="K75" s="16" t="str">
        <f t="shared" si="11"/>
        <v/>
      </c>
      <c r="L75" s="16"/>
    </row>
    <row r="76" spans="1:12" ht="14.5" x14ac:dyDescent="0.35">
      <c r="A76" s="16"/>
      <c r="B76" s="16"/>
      <c r="C76" s="16"/>
      <c r="D76" s="16"/>
      <c r="E76" s="22" t="str">
        <f ca="1">IFERROR(__xludf.dummyfunction("iferror(1000+INT(($N$2-(index(split(D76,"":""),1)*60+index(split(D76,"":""),2 )))/0.2+1)*$N$3,"""")"),"")</f>
        <v/>
      </c>
      <c r="F76" s="16" t="str">
        <f t="shared" ca="1" si="8"/>
        <v/>
      </c>
      <c r="G76" s="16"/>
      <c r="H76" s="22" t="str">
        <f ca="1">IFERROR(__xludf.dummyfunction("iferror(1000+INT(($N$4-(index(split(G76,"":""),1)*60+index(split(G76,"":""),2 )))/0.2+1)*$N$5,"""")"),"")</f>
        <v/>
      </c>
      <c r="I76" s="16" t="str">
        <f t="shared" ca="1" si="9"/>
        <v/>
      </c>
      <c r="J76" s="16" t="str">
        <f t="shared" si="10"/>
        <v/>
      </c>
      <c r="K76" s="16" t="str">
        <f t="shared" si="11"/>
        <v/>
      </c>
      <c r="L76" s="16"/>
    </row>
    <row r="77" spans="1:12" ht="14.5" x14ac:dyDescent="0.35">
      <c r="A77" s="16"/>
      <c r="B77" s="16"/>
      <c r="C77" s="16"/>
      <c r="D77" s="16"/>
      <c r="E77" s="22" t="str">
        <f ca="1">IFERROR(__xludf.dummyfunction("iferror(1000+INT(($N$2-(index(split(D77,"":""),1)*60+index(split(D77,"":""),2 )))/0.2+1)*$N$3,"""")"),"")</f>
        <v/>
      </c>
      <c r="F77" s="16" t="str">
        <f t="shared" ca="1" si="8"/>
        <v/>
      </c>
      <c r="G77" s="16"/>
      <c r="H77" s="22" t="str">
        <f ca="1">IFERROR(__xludf.dummyfunction("iferror(1000+INT(($N$4-(index(split(G77,"":""),1)*60+index(split(G77,"":""),2 )))/0.2+1)*$N$5,"""")"),"")</f>
        <v/>
      </c>
      <c r="I77" s="16" t="str">
        <f t="shared" ca="1" si="9"/>
        <v/>
      </c>
      <c r="J77" s="16" t="str">
        <f t="shared" si="10"/>
        <v/>
      </c>
      <c r="K77" s="16" t="str">
        <f t="shared" si="11"/>
        <v/>
      </c>
      <c r="L77" s="16"/>
    </row>
    <row r="78" spans="1:12" ht="14.5" x14ac:dyDescent="0.35">
      <c r="A78" s="16"/>
      <c r="B78" s="16"/>
      <c r="C78" s="16"/>
      <c r="D78" s="16"/>
      <c r="E78" s="22" t="str">
        <f ca="1">IFERROR(__xludf.dummyfunction("iferror(1000+INT(($N$2-(index(split(D78,"":""),1)*60+index(split(D78,"":""),2 )))/0.2+1)*$N$3,"""")"),"")</f>
        <v/>
      </c>
      <c r="F78" s="16" t="str">
        <f t="shared" ca="1" si="8"/>
        <v/>
      </c>
      <c r="G78" s="16"/>
      <c r="H78" s="22" t="str">
        <f ca="1">IFERROR(__xludf.dummyfunction("iferror(1000+INT(($N$4-(index(split(G78,"":""),1)*60+index(split(G78,"":""),2 )))/0.2+1)*$N$5,"""")"),"")</f>
        <v/>
      </c>
      <c r="I78" s="16" t="str">
        <f t="shared" ca="1" si="9"/>
        <v/>
      </c>
      <c r="J78" s="16" t="str">
        <f t="shared" si="10"/>
        <v/>
      </c>
      <c r="K78" s="16" t="str">
        <f t="shared" si="11"/>
        <v/>
      </c>
      <c r="L78" s="16"/>
    </row>
    <row r="79" spans="1:12" ht="14.5" x14ac:dyDescent="0.35">
      <c r="A79" s="16"/>
      <c r="B79" s="16"/>
      <c r="C79" s="16"/>
      <c r="D79" s="16"/>
      <c r="E79" s="22" t="str">
        <f ca="1">IFERROR(__xludf.dummyfunction("iferror(1000+INT(($N$2-(index(split(D79,"":""),1)*60+index(split(D79,"":""),2 )))/0.2+1)*$N$3,"""")"),"")</f>
        <v/>
      </c>
      <c r="F79" s="16" t="str">
        <f t="shared" ca="1" si="8"/>
        <v/>
      </c>
      <c r="G79" s="16"/>
      <c r="H79" s="22" t="str">
        <f ca="1">IFERROR(__xludf.dummyfunction("iferror(1000+INT(($N$4-(index(split(G79,"":""),1)*60+index(split(G79,"":""),2 )))/0.2+1)*$N$5,"""")"),"")</f>
        <v/>
      </c>
      <c r="I79" s="16" t="str">
        <f t="shared" ca="1" si="9"/>
        <v/>
      </c>
      <c r="J79" s="16" t="str">
        <f t="shared" si="10"/>
        <v/>
      </c>
      <c r="K79" s="16" t="str">
        <f t="shared" si="11"/>
        <v/>
      </c>
      <c r="L79" s="16"/>
    </row>
    <row r="80" spans="1:12" ht="14.5" x14ac:dyDescent="0.35">
      <c r="A80" s="16"/>
      <c r="B80" s="16"/>
      <c r="C80" s="16"/>
      <c r="D80" s="16"/>
      <c r="E80" s="22" t="str">
        <f ca="1">IFERROR(__xludf.dummyfunction("iferror(1000+INT(($N$2-(index(split(D80,"":""),1)*60+index(split(D80,"":""),2 )))/0.2+1)*$N$3,"""")"),"")</f>
        <v/>
      </c>
      <c r="F80" s="16" t="str">
        <f t="shared" ca="1" si="8"/>
        <v/>
      </c>
      <c r="G80" s="16"/>
      <c r="H80" s="22" t="str">
        <f ca="1">IFERROR(__xludf.dummyfunction("iferror(1000+INT(($N$4-(index(split(G80,"":""),1)*60+index(split(G80,"":""),2 )))/0.2+1)*$N$5,"""")"),"")</f>
        <v/>
      </c>
      <c r="I80" s="16" t="str">
        <f t="shared" ca="1" si="9"/>
        <v/>
      </c>
      <c r="J80" s="16" t="str">
        <f t="shared" si="10"/>
        <v/>
      </c>
      <c r="K80" s="16" t="str">
        <f t="shared" si="11"/>
        <v/>
      </c>
      <c r="L80" s="16"/>
    </row>
    <row r="81" spans="1:12" ht="14.5" x14ac:dyDescent="0.35">
      <c r="A81" s="16"/>
      <c r="B81" s="16"/>
      <c r="C81" s="16"/>
      <c r="D81" s="16"/>
      <c r="E81" s="22" t="str">
        <f ca="1">IFERROR(__xludf.dummyfunction("iferror(1000+INT(($N$2-(index(split(D81,"":""),1)*60+index(split(D81,"":""),2 )))/0.2+1)*$N$3,"""")"),"")</f>
        <v/>
      </c>
      <c r="F81" s="16" t="str">
        <f t="shared" ca="1" si="8"/>
        <v/>
      </c>
      <c r="G81" s="16"/>
      <c r="H81" s="22" t="str">
        <f ca="1">IFERROR(__xludf.dummyfunction("iferror(1000+INT(($N$4-(index(split(G81,"":""),1)*60+index(split(G81,"":""),2 )))/0.2+1)*$N$5,"""")"),"")</f>
        <v/>
      </c>
      <c r="I81" s="16" t="str">
        <f t="shared" ca="1" si="9"/>
        <v/>
      </c>
      <c r="J81" s="16" t="str">
        <f t="shared" si="10"/>
        <v/>
      </c>
      <c r="K81" s="16" t="str">
        <f t="shared" si="11"/>
        <v/>
      </c>
      <c r="L81" s="16"/>
    </row>
    <row r="82" spans="1:12" ht="14.5" x14ac:dyDescent="0.35">
      <c r="A82" s="16"/>
      <c r="B82" s="16"/>
      <c r="C82" s="16"/>
      <c r="D82" s="16"/>
      <c r="E82" s="22" t="str">
        <f ca="1">IFERROR(__xludf.dummyfunction("iferror(1000+INT(($N$2-(index(split(D82,"":""),1)*60+index(split(D82,"":""),2 )))/0.2+1)*$N$3,"""")"),"")</f>
        <v/>
      </c>
      <c r="F82" s="16" t="str">
        <f t="shared" ca="1" si="8"/>
        <v/>
      </c>
      <c r="G82" s="16"/>
      <c r="H82" s="22" t="str">
        <f ca="1">IFERROR(__xludf.dummyfunction("iferror(1000+INT(($N$4-(index(split(G82,"":""),1)*60+index(split(G82,"":""),2 )))/0.2+1)*$N$5,"""")"),"")</f>
        <v/>
      </c>
      <c r="I82" s="16" t="str">
        <f t="shared" ca="1" si="9"/>
        <v/>
      </c>
      <c r="J82" s="16" t="str">
        <f t="shared" si="10"/>
        <v/>
      </c>
      <c r="K82" s="16" t="str">
        <f t="shared" si="11"/>
        <v/>
      </c>
      <c r="L82" s="16"/>
    </row>
    <row r="83" spans="1:12" ht="14.5" x14ac:dyDescent="0.35">
      <c r="A83" s="16"/>
      <c r="B83" s="16"/>
      <c r="C83" s="16"/>
      <c r="D83" s="16"/>
      <c r="E83" s="22" t="str">
        <f ca="1">IFERROR(__xludf.dummyfunction("iferror(1000+INT(($N$2-(index(split(D83,"":""),1)*60+index(split(D83,"":""),2 )))/0.2+1)*$N$3,"""")"),"")</f>
        <v/>
      </c>
      <c r="F83" s="16" t="str">
        <f t="shared" ca="1" si="8"/>
        <v/>
      </c>
      <c r="G83" s="16"/>
      <c r="H83" s="22" t="str">
        <f ca="1">IFERROR(__xludf.dummyfunction("iferror(1000+INT(($N$4-(index(split(G83,"":""),1)*60+index(split(G83,"":""),2 )))/0.2+1)*$N$5,"""")"),"")</f>
        <v/>
      </c>
      <c r="I83" s="16" t="str">
        <f t="shared" ca="1" si="9"/>
        <v/>
      </c>
      <c r="J83" s="16" t="str">
        <f t="shared" si="10"/>
        <v/>
      </c>
      <c r="K83" s="16" t="str">
        <f t="shared" si="11"/>
        <v/>
      </c>
      <c r="L83" s="16"/>
    </row>
    <row r="84" spans="1:12" ht="14.5" x14ac:dyDescent="0.35">
      <c r="A84" s="16"/>
      <c r="B84" s="16"/>
      <c r="C84" s="16"/>
      <c r="D84" s="16"/>
      <c r="E84" s="22" t="str">
        <f ca="1">IFERROR(__xludf.dummyfunction("iferror(1000+INT(($N$2-(index(split(D84,"":""),1)*60+index(split(D84,"":""),2 )))/0.2+1)*$N$3,"""")"),"")</f>
        <v/>
      </c>
      <c r="F84" s="16" t="str">
        <f t="shared" ca="1" si="8"/>
        <v/>
      </c>
      <c r="G84" s="16"/>
      <c r="H84" s="22" t="str">
        <f ca="1">IFERROR(__xludf.dummyfunction("iferror(1000+INT(($N$4-(index(split(G84,"":""),1)*60+index(split(G84,"":""),2 )))/0.2+1)*$N$5,"""")"),"")</f>
        <v/>
      </c>
      <c r="I84" s="16" t="str">
        <f t="shared" ca="1" si="9"/>
        <v/>
      </c>
      <c r="J84" s="16" t="str">
        <f t="shared" si="10"/>
        <v/>
      </c>
      <c r="K84" s="16" t="str">
        <f t="shared" si="11"/>
        <v/>
      </c>
      <c r="L84" s="16"/>
    </row>
    <row r="85" spans="1:12" ht="14.5" x14ac:dyDescent="0.35">
      <c r="A85" s="16"/>
      <c r="B85" s="16"/>
      <c r="C85" s="16"/>
      <c r="D85" s="16"/>
      <c r="E85" s="22" t="str">
        <f ca="1">IFERROR(__xludf.dummyfunction("iferror(1000+INT(($N$2-(index(split(D85,"":""),1)*60+index(split(D85,"":""),2 )))/0.2+1)*$N$3,"""")"),"")</f>
        <v/>
      </c>
      <c r="F85" s="16" t="str">
        <f t="shared" ca="1" si="8"/>
        <v/>
      </c>
      <c r="G85" s="16"/>
      <c r="H85" s="22" t="str">
        <f ca="1">IFERROR(__xludf.dummyfunction("iferror(1000+INT(($N$4-(index(split(G85,"":""),1)*60+index(split(G85,"":""),2 )))/0.2+1)*$N$5,"""")"),"")</f>
        <v/>
      </c>
      <c r="I85" s="16" t="str">
        <f t="shared" ca="1" si="9"/>
        <v/>
      </c>
      <c r="J85" s="16" t="str">
        <f t="shared" si="10"/>
        <v/>
      </c>
      <c r="K85" s="16" t="str">
        <f t="shared" si="11"/>
        <v/>
      </c>
      <c r="L85" s="16"/>
    </row>
    <row r="86" spans="1:12" ht="14.5" x14ac:dyDescent="0.35">
      <c r="A86" s="16"/>
      <c r="B86" s="16"/>
      <c r="C86" s="16"/>
      <c r="D86" s="16"/>
      <c r="E86" s="22" t="str">
        <f ca="1">IFERROR(__xludf.dummyfunction("iferror(1000+INT(($N$2-(index(split(D86,"":""),1)*60+index(split(D86,"":""),2 )))/0.2+1)*$N$3,"""")"),"")</f>
        <v/>
      </c>
      <c r="F86" s="16" t="str">
        <f t="shared" ca="1" si="8"/>
        <v/>
      </c>
      <c r="G86" s="16"/>
      <c r="H86" s="22" t="str">
        <f ca="1">IFERROR(__xludf.dummyfunction("iferror(1000+INT(($N$4-(index(split(G86,"":""),1)*60+index(split(G86,"":""),2 )))/0.2+1)*$N$5,"""")"),"")</f>
        <v/>
      </c>
      <c r="I86" s="16" t="str">
        <f t="shared" ca="1" si="9"/>
        <v/>
      </c>
      <c r="J86" s="16" t="str">
        <f t="shared" si="10"/>
        <v/>
      </c>
      <c r="K86" s="16" t="str">
        <f t="shared" si="11"/>
        <v/>
      </c>
      <c r="L86" s="16"/>
    </row>
    <row r="87" spans="1:12" ht="14.5" x14ac:dyDescent="0.35">
      <c r="A87" s="16"/>
      <c r="B87" s="16"/>
      <c r="C87" s="16"/>
      <c r="D87" s="16"/>
      <c r="E87" s="22" t="str">
        <f ca="1">IFERROR(__xludf.dummyfunction("iferror(1000+INT(($N$2-(index(split(D87,"":""),1)*60+index(split(D87,"":""),2 )))/0.2+1)*$N$3,"""")"),"")</f>
        <v/>
      </c>
      <c r="F87" s="16" t="str">
        <f t="shared" ca="1" si="8"/>
        <v/>
      </c>
      <c r="G87" s="16"/>
      <c r="H87" s="22" t="str">
        <f ca="1">IFERROR(__xludf.dummyfunction("iferror(1000+INT(($N$4-(index(split(G87,"":""),1)*60+index(split(G87,"":""),2 )))/0.2+1)*$N$5,"""")"),"")</f>
        <v/>
      </c>
      <c r="I87" s="16" t="str">
        <f t="shared" ca="1" si="9"/>
        <v/>
      </c>
      <c r="J87" s="16" t="str">
        <f t="shared" si="10"/>
        <v/>
      </c>
      <c r="K87" s="16" t="str">
        <f t="shared" si="11"/>
        <v/>
      </c>
      <c r="L87" s="16"/>
    </row>
    <row r="88" spans="1:12" ht="14.5" x14ac:dyDescent="0.35">
      <c r="A88" s="16"/>
      <c r="B88" s="16"/>
      <c r="C88" s="16"/>
      <c r="D88" s="16"/>
      <c r="E88" s="22" t="str">
        <f ca="1">IFERROR(__xludf.dummyfunction("iferror(1000+INT(($N$2-(index(split(D88,"":""),1)*60+index(split(D88,"":""),2 )))/0.2+1)*$N$3,"""")"),"")</f>
        <v/>
      </c>
      <c r="F88" s="16" t="str">
        <f t="shared" ca="1" si="8"/>
        <v/>
      </c>
      <c r="G88" s="16"/>
      <c r="H88" s="22" t="str">
        <f ca="1">IFERROR(__xludf.dummyfunction("iferror(1000+INT(($N$4-(index(split(G88,"":""),1)*60+index(split(G88,"":""),2 )))/0.2+1)*$N$5,"""")"),"")</f>
        <v/>
      </c>
      <c r="I88" s="16" t="str">
        <f t="shared" ca="1" si="9"/>
        <v/>
      </c>
      <c r="J88" s="16" t="str">
        <f t="shared" si="10"/>
        <v/>
      </c>
      <c r="K88" s="16" t="str">
        <f t="shared" si="11"/>
        <v/>
      </c>
      <c r="L88" s="16"/>
    </row>
    <row r="89" spans="1:12" ht="14.5" x14ac:dyDescent="0.35">
      <c r="A89" s="16"/>
      <c r="B89" s="16"/>
      <c r="C89" s="16"/>
      <c r="D89" s="16"/>
      <c r="E89" s="22" t="str">
        <f ca="1">IFERROR(__xludf.dummyfunction("iferror(1000+INT(($N$2-(index(split(D89,"":""),1)*60+index(split(D89,"":""),2 )))/0.2+1)*$N$3,"""")"),"")</f>
        <v/>
      </c>
      <c r="F89" s="16" t="str">
        <f t="shared" ca="1" si="8"/>
        <v/>
      </c>
      <c r="G89" s="16"/>
      <c r="H89" s="22" t="str">
        <f ca="1">IFERROR(__xludf.dummyfunction("iferror(1000+INT(($N$4-(index(split(G89,"":""),1)*60+index(split(G89,"":""),2 )))/0.2+1)*$N$5,"""")"),"")</f>
        <v/>
      </c>
      <c r="I89" s="16" t="str">
        <f t="shared" ca="1" si="9"/>
        <v/>
      </c>
      <c r="J89" s="16" t="str">
        <f t="shared" si="10"/>
        <v/>
      </c>
      <c r="K89" s="16" t="str">
        <f t="shared" si="11"/>
        <v/>
      </c>
      <c r="L89" s="16"/>
    </row>
    <row r="90" spans="1:12" ht="14.5" x14ac:dyDescent="0.35">
      <c r="A90" s="16"/>
      <c r="B90" s="16"/>
      <c r="C90" s="16"/>
      <c r="D90" s="16"/>
      <c r="E90" s="22" t="str">
        <f ca="1">IFERROR(__xludf.dummyfunction("iferror(1000+INT(($N$2-(index(split(D90,"":""),1)*60+index(split(D90,"":""),2 )))/0.2+1)*$N$3,"""")"),"")</f>
        <v/>
      </c>
      <c r="F90" s="16" t="str">
        <f t="shared" ca="1" si="8"/>
        <v/>
      </c>
      <c r="G90" s="16"/>
      <c r="H90" s="22" t="str">
        <f ca="1">IFERROR(__xludf.dummyfunction("iferror(1000+INT(($N$4-(index(split(G90,"":""),1)*60+index(split(G90,"":""),2 )))/0.2+1)*$N$5,"""")"),"")</f>
        <v/>
      </c>
      <c r="I90" s="16" t="str">
        <f t="shared" ca="1" si="9"/>
        <v/>
      </c>
      <c r="J90" s="16" t="str">
        <f t="shared" si="10"/>
        <v/>
      </c>
      <c r="K90" s="16" t="str">
        <f t="shared" si="11"/>
        <v/>
      </c>
      <c r="L90" s="16"/>
    </row>
    <row r="91" spans="1:12" ht="14.5" x14ac:dyDescent="0.35">
      <c r="A91" s="16"/>
      <c r="B91" s="16"/>
      <c r="C91" s="16"/>
      <c r="D91" s="16"/>
      <c r="E91" s="22" t="str">
        <f ca="1">IFERROR(__xludf.dummyfunction("iferror(1000+INT(($N$2-(index(split(D91,"":""),1)*60+index(split(D91,"":""),2 )))/0.2+1)*$N$3,"""")"),"")</f>
        <v/>
      </c>
      <c r="F91" s="16" t="str">
        <f t="shared" ca="1" si="8"/>
        <v/>
      </c>
      <c r="G91" s="16"/>
      <c r="H91" s="22" t="str">
        <f ca="1">IFERROR(__xludf.dummyfunction("iferror(1000+INT(($N$4-(index(split(G91,"":""),1)*60+index(split(G91,"":""),2 )))/0.2+1)*$N$5,"""")"),"")</f>
        <v/>
      </c>
      <c r="I91" s="16" t="str">
        <f t="shared" ca="1" si="9"/>
        <v/>
      </c>
      <c r="J91" s="16" t="str">
        <f t="shared" si="10"/>
        <v/>
      </c>
      <c r="K91" s="16" t="str">
        <f t="shared" si="11"/>
        <v/>
      </c>
      <c r="L91" s="16"/>
    </row>
    <row r="92" spans="1:12" ht="14.5" x14ac:dyDescent="0.35">
      <c r="A92" s="16"/>
      <c r="B92" s="16"/>
      <c r="C92" s="16"/>
      <c r="D92" s="16"/>
      <c r="E92" s="22" t="str">
        <f ca="1">IFERROR(__xludf.dummyfunction("iferror(1000+INT(($N$2-(index(split(D92,"":""),1)*60+index(split(D92,"":""),2 )))/0.2+1)*$N$3,"""")"),"")</f>
        <v/>
      </c>
      <c r="F92" s="16" t="str">
        <f t="shared" ca="1" si="8"/>
        <v/>
      </c>
      <c r="G92" s="16"/>
      <c r="H92" s="22" t="str">
        <f ca="1">IFERROR(__xludf.dummyfunction("iferror(1000+INT(($N$4-(index(split(G92,"":""),1)*60+index(split(G92,"":""),2 )))/0.2+1)*$N$5,"""")"),"")</f>
        <v/>
      </c>
      <c r="I92" s="16" t="str">
        <f t="shared" ca="1" si="9"/>
        <v/>
      </c>
      <c r="J92" s="16" t="str">
        <f t="shared" si="10"/>
        <v/>
      </c>
      <c r="K92" s="16" t="str">
        <f t="shared" si="11"/>
        <v/>
      </c>
      <c r="L92" s="16"/>
    </row>
    <row r="93" spans="1:12" ht="14.5" x14ac:dyDescent="0.35">
      <c r="A93" s="16"/>
      <c r="B93" s="16"/>
      <c r="C93" s="16"/>
      <c r="D93" s="16"/>
      <c r="E93" s="22" t="str">
        <f ca="1">IFERROR(__xludf.dummyfunction("iferror(1000+INT(($N$2-(index(split(D93,"":""),1)*60+index(split(D93,"":""),2 )))/0.2+1)*$N$3,"""")"),"")</f>
        <v/>
      </c>
      <c r="F93" s="16" t="str">
        <f t="shared" ca="1" si="8"/>
        <v/>
      </c>
      <c r="G93" s="16"/>
      <c r="H93" s="22" t="str">
        <f ca="1">IFERROR(__xludf.dummyfunction("iferror(1000+INT(($N$4-(index(split(G93,"":""),1)*60+index(split(G93,"":""),2 )))/0.2+1)*$N$5,"""")"),"")</f>
        <v/>
      </c>
      <c r="I93" s="16" t="str">
        <f t="shared" ca="1" si="9"/>
        <v/>
      </c>
      <c r="J93" s="16" t="str">
        <f t="shared" si="10"/>
        <v/>
      </c>
      <c r="K93" s="16" t="str">
        <f t="shared" si="11"/>
        <v/>
      </c>
      <c r="L93" s="16"/>
    </row>
    <row r="94" spans="1:12" ht="14.5" x14ac:dyDescent="0.35">
      <c r="A94" s="16"/>
      <c r="B94" s="16"/>
      <c r="C94" s="16"/>
      <c r="D94" s="16"/>
      <c r="E94" s="22" t="str">
        <f ca="1">IFERROR(__xludf.dummyfunction("iferror(1000+INT(($N$2-(index(split(D94,"":""),1)*60+index(split(D94,"":""),2 )))/0.2+1)*$N$3,"""")"),"")</f>
        <v/>
      </c>
      <c r="F94" s="16" t="str">
        <f t="shared" ca="1" si="8"/>
        <v/>
      </c>
      <c r="G94" s="16"/>
      <c r="H94" s="22" t="str">
        <f ca="1">IFERROR(__xludf.dummyfunction("iferror(1000+INT(($N$4-(index(split(G94,"":""),1)*60+index(split(G94,"":""),2 )))/0.2+1)*$N$5,"""")"),"")</f>
        <v/>
      </c>
      <c r="I94" s="16" t="str">
        <f t="shared" ca="1" si="9"/>
        <v/>
      </c>
      <c r="J94" s="16" t="str">
        <f t="shared" si="10"/>
        <v/>
      </c>
      <c r="K94" s="16" t="str">
        <f t="shared" si="11"/>
        <v/>
      </c>
      <c r="L94" s="16"/>
    </row>
    <row r="95" spans="1:12" ht="14.5" x14ac:dyDescent="0.35">
      <c r="A95" s="16"/>
      <c r="B95" s="16"/>
      <c r="C95" s="16"/>
      <c r="D95" s="16"/>
      <c r="E95" s="22" t="str">
        <f ca="1">IFERROR(__xludf.dummyfunction("iferror(1000+INT(($N$2-(index(split(D95,"":""),1)*60+index(split(D95,"":""),2 )))/0.2+1)*$N$3,"""")"),"")</f>
        <v/>
      </c>
      <c r="F95" s="16" t="str">
        <f t="shared" ca="1" si="8"/>
        <v/>
      </c>
      <c r="G95" s="16"/>
      <c r="H95" s="22" t="str">
        <f ca="1">IFERROR(__xludf.dummyfunction("iferror(1000+INT(($N$4-(index(split(G95,"":""),1)*60+index(split(G95,"":""),2 )))/0.2+1)*$N$5,"""")"),"")</f>
        <v/>
      </c>
      <c r="I95" s="16" t="str">
        <f t="shared" ca="1" si="9"/>
        <v/>
      </c>
      <c r="J95" s="16" t="str">
        <f t="shared" si="10"/>
        <v/>
      </c>
      <c r="K95" s="16" t="str">
        <f t="shared" si="11"/>
        <v/>
      </c>
      <c r="L95" s="16"/>
    </row>
    <row r="96" spans="1:12" ht="14.5" x14ac:dyDescent="0.35">
      <c r="A96" s="16"/>
      <c r="B96" s="16"/>
      <c r="C96" s="16"/>
      <c r="D96" s="16"/>
      <c r="E96" s="22" t="str">
        <f ca="1">IFERROR(__xludf.dummyfunction("iferror(1000+INT(($N$2-(index(split(D96,"":""),1)*60+index(split(D96,"":""),2 )))/0.2+1)*$N$3,"""")"),"")</f>
        <v/>
      </c>
      <c r="F96" s="16" t="str">
        <f t="shared" ca="1" si="8"/>
        <v/>
      </c>
      <c r="G96" s="16"/>
      <c r="H96" s="22" t="str">
        <f ca="1">IFERROR(__xludf.dummyfunction("iferror(1000+INT(($N$4-(index(split(G96,"":""),1)*60+index(split(G96,"":""),2 )))/0.2+1)*$N$5,"""")"),"")</f>
        <v/>
      </c>
      <c r="I96" s="16" t="str">
        <f t="shared" ca="1" si="9"/>
        <v/>
      </c>
      <c r="J96" s="16" t="str">
        <f t="shared" si="10"/>
        <v/>
      </c>
      <c r="K96" s="16" t="str">
        <f t="shared" si="11"/>
        <v/>
      </c>
      <c r="L96" s="16"/>
    </row>
    <row r="97" spans="1:12" ht="14.5" x14ac:dyDescent="0.35">
      <c r="A97" s="16"/>
      <c r="B97" s="16"/>
      <c r="C97" s="16"/>
      <c r="D97" s="16"/>
      <c r="E97" s="22" t="str">
        <f ca="1">IFERROR(__xludf.dummyfunction("iferror(1000+INT(($N$2-(index(split(D97,"":""),1)*60+index(split(D97,"":""),2 )))/0.2+1)*$N$3,"""")"),"")</f>
        <v/>
      </c>
      <c r="F97" s="16" t="str">
        <f t="shared" ca="1" si="8"/>
        <v/>
      </c>
      <c r="G97" s="16"/>
      <c r="H97" s="22" t="str">
        <f ca="1">IFERROR(__xludf.dummyfunction("iferror(1000+INT(($N$4-(index(split(G97,"":""),1)*60+index(split(G97,"":""),2 )))/0.2+1)*$N$5,"""")"),"")</f>
        <v/>
      </c>
      <c r="I97" s="16" t="str">
        <f t="shared" ca="1" si="9"/>
        <v/>
      </c>
      <c r="J97" s="16" t="str">
        <f t="shared" si="10"/>
        <v/>
      </c>
      <c r="K97" s="16" t="str">
        <f t="shared" si="11"/>
        <v/>
      </c>
      <c r="L97" s="16"/>
    </row>
    <row r="98" spans="1:12" ht="14.5" x14ac:dyDescent="0.35">
      <c r="A98" s="16"/>
      <c r="B98" s="16"/>
      <c r="C98" s="16"/>
      <c r="D98" s="16"/>
      <c r="E98" s="22" t="str">
        <f ca="1">IFERROR(__xludf.dummyfunction("iferror(1000+INT(($N$2-(index(split(D98,"":""),1)*60+index(split(D98,"":""),2 )))/0.2+1)*$N$3,"""")"),"")</f>
        <v/>
      </c>
      <c r="F98" s="16" t="str">
        <f t="shared" ref="F98:F129" ca="1" si="12">IFERROR(_xlfn.RANK.EQ(E98,E:E),"")</f>
        <v/>
      </c>
      <c r="G98" s="16"/>
      <c r="H98" s="22" t="str">
        <f ca="1">IFERROR(__xludf.dummyfunction("iferror(1000+INT(($N$4-(index(split(G98,"":""),1)*60+index(split(G98,"":""),2 )))/0.2+1)*$N$5,"""")"),"")</f>
        <v/>
      </c>
      <c r="I98" s="16" t="str">
        <f t="shared" ref="I98:I129" ca="1" si="13">IFERROR(_xlfn.RANK.EQ(H98,H:H),"")</f>
        <v/>
      </c>
      <c r="J98" s="16" t="str">
        <f t="shared" si="10"/>
        <v/>
      </c>
      <c r="K98" s="16" t="str">
        <f t="shared" ref="K98:K129" si="14">IFERROR(_xlfn.RANK.EQ(J98,J:J),"")</f>
        <v/>
      </c>
      <c r="L98" s="16"/>
    </row>
    <row r="99" spans="1:12" ht="14.5" x14ac:dyDescent="0.35">
      <c r="A99" s="16"/>
      <c r="B99" s="16"/>
      <c r="C99" s="16"/>
      <c r="D99" s="16"/>
      <c r="E99" s="22" t="str">
        <f ca="1">IFERROR(__xludf.dummyfunction("iferror(1000+INT(($N$2-(index(split(D99,"":""),1)*60+index(split(D99,"":""),2 )))/0.2+1)*$N$3,"""")"),"")</f>
        <v/>
      </c>
      <c r="F99" s="16" t="str">
        <f t="shared" ca="1" si="12"/>
        <v/>
      </c>
      <c r="G99" s="16"/>
      <c r="H99" s="22" t="str">
        <f ca="1">IFERROR(__xludf.dummyfunction("iferror(1000+INT(($N$4-(index(split(G99,"":""),1)*60+index(split(G99,"":""),2 )))/0.2+1)*$N$5,"""")"),"")</f>
        <v/>
      </c>
      <c r="I99" s="16" t="str">
        <f t="shared" ca="1" si="13"/>
        <v/>
      </c>
      <c r="J99" s="16" t="str">
        <f t="shared" si="10"/>
        <v/>
      </c>
      <c r="K99" s="16" t="str">
        <f t="shared" si="14"/>
        <v/>
      </c>
      <c r="L99" s="16"/>
    </row>
    <row r="100" spans="1:12" ht="14.5" x14ac:dyDescent="0.35">
      <c r="A100" s="16"/>
      <c r="B100" s="16"/>
      <c r="C100" s="16"/>
      <c r="D100" s="16"/>
      <c r="E100" s="22" t="str">
        <f ca="1">IFERROR(__xludf.dummyfunction("iferror(1000+INT(($N$2-(index(split(D100,"":""),1)*60+index(split(D100,"":""),2 )))/0.2+1)*$N$3,"""")"),"")</f>
        <v/>
      </c>
      <c r="F100" s="16" t="str">
        <f t="shared" ca="1" si="12"/>
        <v/>
      </c>
      <c r="G100" s="16"/>
      <c r="H100" s="22" t="str">
        <f ca="1">IFERROR(__xludf.dummyfunction("iferror(1000+INT(($N$4-(index(split(G100,"":""),1)*60+index(split(G100,"":""),2 )))/0.2+1)*$N$5,"""")"),"")</f>
        <v/>
      </c>
      <c r="I100" s="16" t="str">
        <f t="shared" ca="1" si="13"/>
        <v/>
      </c>
      <c r="J100" s="16" t="str">
        <f t="shared" si="10"/>
        <v/>
      </c>
      <c r="K100" s="16" t="str">
        <f t="shared" si="14"/>
        <v/>
      </c>
      <c r="L100" s="16"/>
    </row>
    <row r="101" spans="1:12" ht="14.5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4.5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4.5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4.5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4.5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4.5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4.5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4.5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4.5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4.5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4.5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4.5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4.5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4.5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4.5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4.5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4.5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4.5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4.5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4.5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4.5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4.5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4.5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4.5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4.5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4.5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4.5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4.5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4.5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4.5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4.5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4.5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4.5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4.5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4.5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4.5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4.5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4.5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4.5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4.5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4.5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4.5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4.5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4.5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4.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4.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4.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4.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4.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4.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4.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4.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4.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4.5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4.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4.5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4.5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4.5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4.5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4.5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4.5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4.5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ht="14.5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4.5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ht="14.5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ht="14.5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4.5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4.5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5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4.5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4.5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4.5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4.5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4.5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4.5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4.5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4.5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4.5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4.5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4.5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4.5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4.5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4.5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4.5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4.5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4.5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4.5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4.5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4.5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4.5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4.5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4.5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4.5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4.5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4.5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4.5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4.5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4.5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4.5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4.5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4.5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4.5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4.5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4.5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4.5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4.5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4.5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4.5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4.5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4.5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4.5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4.5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4.5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4.5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4.5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4.5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4.5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4.5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4.5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4.5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4.5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4.5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4.5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4.5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4.5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4.5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4.5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4.5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4.5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4.5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4.5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4.5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4.5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5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4.5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4.5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4.5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4.5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4.5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4.5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4.5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4.5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4.5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4.5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4.5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4.5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4.5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4.5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4.5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4.5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4.5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4.5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4.5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4.5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4.5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4.5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4.5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4.5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4.5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4.5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4.5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4.5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4.5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4.5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4.5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4.5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4.5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4.5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4.5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4.5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4.5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4.5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4.5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4.5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4.5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4.5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4.5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4.5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4.5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4.5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4.5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4.5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4.5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4.5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4.5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4.5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4.5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4.5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4.5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4.5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4.5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4.5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4.5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4.5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4.5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4.5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4.5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4.5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4.5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4.5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4.5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4.5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4.5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4.5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4.5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4.5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4.5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4.5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4.5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4.5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4.5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4.5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4.5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4.5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4.5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4.5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4.5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4.5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4.5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4.5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4.5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4.5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4.5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4.5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4.5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4.5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4.5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4.5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4.5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4.5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4.5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4.5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4.5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4.5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4.5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4.5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4.5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4.5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4.5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4.5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4.5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4.5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4.5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4.5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4.5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4.5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4.5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4.5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4.5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4.5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4.5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4.5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4.5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4.5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4.5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4.5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4.5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4.5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4.5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4.5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4.5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4.5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4.5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4.5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4.5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4.5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4.5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4.5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4.5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4.5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4.5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4.5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4.5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4.5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4.5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4.5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4.5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4.5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4.5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ht="14.5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ht="14.5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ht="14.5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ht="14.5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ht="14.5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ht="14.5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ht="14.5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ht="14.5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ht="14.5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ht="14.5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ht="14.5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ht="14.5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ht="14.5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ht="14.5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ht="14.5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ht="14.5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ht="14.5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ht="14.5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ht="14.5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ht="14.5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ht="14.5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ht="14.5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ht="14.5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ht="14.5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ht="14.5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ht="14.5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ht="14.5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ht="14.5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ht="14.5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ht="14.5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ht="14.5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ht="14.5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ht="14.5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ht="14.5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ht="14.5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ht="14.5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ht="14.5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ht="14.5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ht="14.5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ht="14.5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ht="14.5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ht="14.5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ht="14.5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ht="14.5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ht="14.5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ht="14.5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ht="14.5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ht="14.5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ht="14.5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ht="14.5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ht="14.5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ht="14.5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ht="14.5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ht="14.5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ht="14.5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ht="14.5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ht="14.5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ht="14.5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 ht="14.5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 ht="14.5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 ht="14.5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 ht="14.5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 ht="14.5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 ht="14.5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 ht="14.5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 ht="14.5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 ht="14.5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 ht="14.5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 ht="14.5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 ht="14.5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 ht="14.5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 ht="14.5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 ht="14.5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 ht="14.5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 ht="14.5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 ht="14.5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 ht="14.5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 ht="14.5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 ht="14.5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 ht="14.5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 ht="14.5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 ht="14.5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 ht="14.5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 ht="14.5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 ht="14.5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 ht="14.5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 ht="14.5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 ht="14.5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 ht="14.5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 ht="14.5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 ht="14.5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 ht="14.5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 ht="14.5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 ht="14.5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 ht="14.5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 ht="14.5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 ht="14.5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 ht="14.5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 ht="14.5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 ht="14.5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 ht="14.5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 ht="14.5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 ht="14.5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 ht="14.5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 ht="14.5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 ht="14.5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 ht="14.5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 ht="14.5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 ht="14.5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 ht="14.5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 ht="14.5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 ht="14.5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 ht="14.5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 ht="14.5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 ht="14.5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 ht="14.5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 ht="14.5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 ht="14.5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 ht="14.5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 ht="14.5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 ht="14.5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 ht="14.5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 ht="14.5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 ht="14.5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 ht="14.5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 ht="14.5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 ht="14.5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 ht="14.5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 ht="14.5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 ht="14.5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 ht="14.5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 ht="14.5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 ht="14.5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 ht="14.5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 ht="14.5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 ht="14.5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 ht="14.5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 ht="14.5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 ht="14.5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 ht="14.5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 ht="14.5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ht="14.5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ht="14.5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ht="14.5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ht="14.5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ht="14.5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ht="14.5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ht="14.5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ht="14.5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 ht="14.5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 ht="14.5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 ht="14.5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 ht="14.5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 ht="14.5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 ht="14.5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 ht="14.5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 ht="14.5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 ht="14.5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 ht="14.5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 ht="14.5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 ht="14.5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 ht="14.5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 ht="14.5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 ht="14.5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 ht="14.5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 ht="14.5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 ht="14.5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 ht="14.5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 ht="14.5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 ht="14.5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 ht="14.5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 ht="14.5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 ht="14.5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 ht="14.5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 ht="14.5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 ht="14.5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 ht="14.5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 ht="14.5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 ht="14.5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 ht="14.5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 ht="14.5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 ht="14.5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 ht="14.5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 ht="14.5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 ht="14.5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 ht="14.5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 ht="14.5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 ht="14.5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 ht="14.5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 ht="14.5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 ht="14.5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 ht="14.5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 ht="14.5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 ht="14.5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 ht="14.5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 ht="14.5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 ht="14.5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 ht="14.5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 ht="14.5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 ht="14.5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 ht="14.5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 ht="14.5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 ht="14.5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 ht="14.5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 ht="14.5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 ht="14.5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 ht="14.5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 ht="14.5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 ht="14.5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 ht="14.5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 ht="14.5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 ht="14.5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 ht="14.5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 ht="14.5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 ht="14.5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 ht="14.5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 ht="14.5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 ht="14.5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 ht="14.5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 ht="14.5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 ht="14.5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 ht="14.5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 ht="14.5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 ht="14.5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 ht="14.5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 ht="14.5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 ht="14.5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 ht="14.5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 ht="14.5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 ht="14.5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 ht="14.5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 ht="14.5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 ht="14.5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 ht="14.5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 ht="14.5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 ht="14.5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 ht="14.5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 ht="14.5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 ht="14.5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 ht="14.5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 ht="14.5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 ht="14.5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 ht="14.5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 ht="14.5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 ht="14.5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 ht="14.5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 ht="14.5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 ht="14.5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 ht="14.5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 ht="14.5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 ht="14.5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 ht="14.5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 ht="14.5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 ht="14.5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 ht="14.5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 ht="14.5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 ht="14.5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 ht="14.5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 ht="14.5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 ht="14.5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 ht="14.5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 ht="14.5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 ht="14.5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 ht="14.5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 ht="14.5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 ht="14.5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 ht="14.5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 ht="14.5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 ht="14.5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 ht="14.5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 ht="14.5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 ht="14.5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 ht="14.5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 ht="14.5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 ht="14.5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 ht="14.5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 ht="14.5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 ht="14.5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 ht="14.5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 ht="14.5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 ht="14.5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 ht="14.5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 ht="14.5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 ht="14.5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 ht="14.5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 ht="14.5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 ht="14.5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 ht="14.5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 ht="14.5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 ht="14.5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 ht="14.5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 ht="14.5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 ht="14.5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 ht="14.5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 ht="14.5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 ht="14.5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 ht="14.5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 ht="14.5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 ht="14.5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 ht="14.5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 ht="14.5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 ht="14.5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 ht="14.5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 ht="14.5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 ht="14.5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 ht="14.5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 ht="14.5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 ht="14.5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 ht="14.5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 ht="14.5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 ht="14.5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 ht="14.5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 ht="14.5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 ht="14.5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 ht="14.5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 ht="14.5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 ht="14.5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 ht="14.5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 ht="14.5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 ht="14.5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 ht="14.5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 ht="14.5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 ht="14.5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 ht="14.5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 ht="14.5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 ht="14.5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 ht="14.5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 ht="14.5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 ht="14.5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 ht="14.5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 ht="14.5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 ht="14.5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 ht="14.5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 ht="14.5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 ht="14.5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 ht="14.5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 ht="14.5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 ht="14.5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 ht="14.5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 ht="14.5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 ht="14.5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 ht="14.5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 ht="14.5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 ht="14.5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 ht="14.5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 ht="14.5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 ht="14.5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 ht="14.5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 ht="14.5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 ht="14.5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 ht="14.5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 ht="14.5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 ht="14.5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 ht="14.5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 ht="14.5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 ht="14.5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 ht="14.5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 ht="14.5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 ht="14.5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 ht="14.5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 ht="14.5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 ht="14.5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 ht="14.5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 ht="14.5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 ht="14.5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 ht="14.5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 ht="14.5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 ht="14.5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 ht="14.5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 ht="14.5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 ht="14.5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 ht="14.5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 ht="14.5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 ht="14.5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 ht="14.5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 ht="14.5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 ht="14.5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 ht="14.5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 ht="14.5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 ht="14.5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 ht="14.5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 ht="14.5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 ht="14.5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 ht="14.5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 ht="14.5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 ht="14.5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 ht="14.5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 ht="14.5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 ht="14.5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 ht="14.5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 ht="14.5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 ht="14.5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 ht="14.5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 ht="14.5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 ht="14.5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 ht="14.5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 ht="14.5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 ht="14.5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 ht="14.5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 ht="14.5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 ht="14.5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 ht="14.5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 ht="14.5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 ht="14.5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 ht="14.5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 ht="14.5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 ht="14.5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 ht="14.5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 ht="14.5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 ht="14.5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 ht="14.5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 ht="14.5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 ht="14.5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 ht="14.5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 ht="14.5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 ht="14.5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 ht="14.5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 ht="14.5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 ht="14.5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 ht="14.5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 ht="14.5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 ht="14.5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 ht="14.5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 ht="14.5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 ht="14.5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 ht="14.5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 ht="14.5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 ht="14.5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 ht="14.5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 ht="14.5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 ht="14.5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 ht="14.5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 ht="14.5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 ht="14.5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 ht="14.5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 ht="14.5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 ht="14.5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 ht="14.5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 ht="14.5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 ht="14.5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 ht="14.5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 ht="14.5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 ht="14.5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 ht="14.5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 ht="14.5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 ht="14.5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 ht="14.5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 ht="14.5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 ht="14.5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 ht="14.5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 ht="14.5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 ht="14.5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 ht="14.5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 ht="14.5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 ht="14.5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 ht="14.5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 ht="14.5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 ht="14.5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 ht="14.5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 ht="14.5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 ht="14.5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 ht="14.5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 ht="14.5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 ht="14.5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 ht="14.5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 ht="14.5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 ht="14.5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 ht="14.5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 ht="14.5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 ht="14.5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 ht="14.5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 ht="14.5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 ht="14.5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 ht="14.5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 ht="14.5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 ht="14.5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 ht="14.5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 ht="14.5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 ht="14.5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 ht="14.5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 ht="14.5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 ht="14.5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 ht="14.5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 ht="14.5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 ht="14.5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 ht="14.5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 ht="14.5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 ht="14.5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 ht="14.5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 ht="14.5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 ht="14.5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 ht="14.5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 ht="14.5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 ht="14.5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 ht="14.5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 ht="14.5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 ht="14.5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 ht="14.5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 ht="14.5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 ht="14.5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 ht="14.5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 ht="14.5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 ht="14.5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 ht="14.5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 ht="14.5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 ht="14.5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 ht="14.5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 ht="14.5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 ht="14.5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 ht="14.5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 ht="14.5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 ht="14.5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 ht="14.5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 ht="14.5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 ht="14.5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 ht="14.5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 ht="14.5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 ht="14.5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 ht="14.5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 ht="14.5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 ht="14.5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 ht="14.5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 ht="14.5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 ht="14.5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 ht="14.5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 ht="14.5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 ht="14.5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 ht="14.5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 ht="14.5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 ht="14.5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 ht="14.5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 ht="14.5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 ht="14.5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 ht="14.5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 ht="14.5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 ht="14.5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 ht="14.5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 ht="14.5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 ht="14.5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 ht="14.5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 ht="14.5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 ht="14.5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 ht="14.5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 ht="14.5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 ht="14.5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 ht="14.5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</sheetData>
  <printOptions horizontalCentered="1" gridLines="1"/>
  <pageMargins left="0.7" right="0.7" top="1.1437499999999998" bottom="1.1437499999999998" header="0.75" footer="0.75"/>
  <pageSetup paperSize="0" fitToWidth="0" fitToHeight="0" pageOrder="overThenDown" orientation="landscape" horizontalDpi="0" verticalDpi="0" copies="0"/>
  <headerFooter alignWithMargins="0"/>
  <ignoredErrors>
    <ignoredError sqref="J2:J5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'Scoring tables'!$A$2:$A$57</xm:f>
          </x14:formula1>
          <xm:sqref>L1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workbookViewId="0">
      <selection activeCell="I13" sqref="I13"/>
    </sheetView>
  </sheetViews>
  <sheetFormatPr defaultRowHeight="15.75" customHeight="1" x14ac:dyDescent="0.3"/>
  <cols>
    <col min="1" max="1" width="10.4140625" customWidth="1"/>
    <col min="2" max="2" width="23.58203125" customWidth="1"/>
    <col min="3" max="3" width="22.4140625" customWidth="1"/>
    <col min="4" max="11" width="8.4140625" customWidth="1"/>
    <col min="12" max="1024" width="11.6640625" customWidth="1"/>
  </cols>
  <sheetData>
    <row r="1" spans="1:14" ht="30.75" customHeight="1" x14ac:dyDescent="0.35">
      <c r="A1" s="20" t="s">
        <v>0</v>
      </c>
      <c r="B1" s="20" t="s">
        <v>26</v>
      </c>
      <c r="C1" s="20" t="s">
        <v>27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25</v>
      </c>
    </row>
    <row r="2" spans="1:14" ht="14.5" x14ac:dyDescent="0.35">
      <c r="A2" s="16">
        <f ca="1">IFERROR(__xludf.dummyfunction("Query(Entries!$A$2:$U$1205,""select A,C,D where B = '""&amp;L1&amp;""'"")"),190)</f>
        <v>190</v>
      </c>
      <c r="B2" s="5" t="str">
        <f ca="1">IFERROR(__xludf.dummyfunction("""COMPUTED_VALUE"""),"Gregan Clarkson")</f>
        <v>Gregan Clarkson</v>
      </c>
      <c r="C2" s="5"/>
      <c r="D2" s="16" t="s">
        <v>165</v>
      </c>
      <c r="E2" s="22">
        <f ca="1">IFERROR(__xludf.dummyfunction("iferror(1000+INT(($N$2-(index(split(D2,"":""),1)*60+index(split(D2,"":""),2 )))/0.2+1)*$N$3,"""")"),1192)</f>
        <v>1192</v>
      </c>
      <c r="F2" s="16">
        <f ca="1">IFERROR(_xlfn.RANK.EQ(E2,E:E),"")</f>
        <v>2</v>
      </c>
      <c r="G2" s="22" t="s">
        <v>166</v>
      </c>
      <c r="H2" s="22">
        <f ca="1">IFERROR(__xludf.dummyfunction("iferror(1000+INT(($N$4-(index(split(G2,"":""),1)*60+index(split(G2,"":""),2 )))/0.2+1)*$N$5,"""")"),1276)</f>
        <v>1276</v>
      </c>
      <c r="I2" s="16">
        <f ca="1">IFERROR(_xlfn.RANK.EQ(H2,H:H),"")</f>
        <v>1</v>
      </c>
      <c r="J2" s="22">
        <f ca="1">IF(AND(D2="", G2=""), "", E2+H2)</f>
        <v>2468</v>
      </c>
      <c r="K2" s="16" t="s">
        <v>446</v>
      </c>
      <c r="L2" s="16" t="s">
        <v>445</v>
      </c>
      <c r="M2" s="27" t="s">
        <v>38</v>
      </c>
      <c r="N2" s="10">
        <f>VLOOKUP($L$1,'Scoring tables'!$A$2:$K$57,10,0)</f>
        <v>35</v>
      </c>
    </row>
    <row r="3" spans="1:14" ht="14.5" x14ac:dyDescent="0.35">
      <c r="A3" s="16">
        <f ca="1">IFERROR(__xludf.dummyfunction("""COMPUTED_VALUE"""),192)</f>
        <v>192</v>
      </c>
      <c r="B3" s="5" t="str">
        <f ca="1">IFERROR(__xludf.dummyfunction("""COMPUTED_VALUE"""),"Jacob Butterfield")</f>
        <v>Jacob Butterfield</v>
      </c>
      <c r="C3" s="5" t="str">
        <f ca="1">IFERROR(__xludf.dummyfunction("""COMPUTED_VALUE"""),"Bootham Junior School")</f>
        <v>Bootham Junior School</v>
      </c>
      <c r="D3" s="16" t="s">
        <v>167</v>
      </c>
      <c r="E3" s="22">
        <f ca="1">IFERROR(__xludf.dummyfunction("iferror(1000+INT(($N$2-(index(split(D4,"":""),1)*60+index(split(D4,"":""),2 )))/0.2+1)*$N$3,"""")"),1240)</f>
        <v>1240</v>
      </c>
      <c r="F3" s="16">
        <f ca="1">IFERROR(_xlfn.RANK.EQ(E3,E:E),"")</f>
        <v>1</v>
      </c>
      <c r="G3" s="16" t="s">
        <v>168</v>
      </c>
      <c r="H3" s="22">
        <f ca="1">IFERROR(__xludf.dummyfunction("iferror(1000+INT(($N$4-(index(split(G4,"":""),1)*60+index(split(G4,"":""),2 )))/0.2+1)*$N$5,"""")"),1228)</f>
        <v>1228</v>
      </c>
      <c r="I3" s="16">
        <f ca="1">IFERROR(_xlfn.RANK.EQ(H3,H:H),"")</f>
        <v>2</v>
      </c>
      <c r="J3" s="22">
        <f ca="1">IF(AND(D3="", G3=""), "", E3+H3)</f>
        <v>2468</v>
      </c>
      <c r="K3" s="16">
        <f ca="1">IFERROR(_xlfn.RANK.EQ(J3,J:J),"")</f>
        <v>1</v>
      </c>
      <c r="L3" s="16"/>
      <c r="M3" s="27" t="s">
        <v>39</v>
      </c>
      <c r="N3" s="10">
        <f>VLOOKUP($L$1,'Scoring tables'!$A$2:$K$57,11,0)</f>
        <v>6</v>
      </c>
    </row>
    <row r="4" spans="1:14" ht="14.5" x14ac:dyDescent="0.35">
      <c r="A4" s="16">
        <f ca="1">IFERROR(__xludf.dummyfunction("""COMPUTED_VALUE"""),193)</f>
        <v>193</v>
      </c>
      <c r="B4" s="5" t="str">
        <f ca="1">IFERROR(__xludf.dummyfunction("""COMPUTED_VALUE"""),"John Cartwright-Terry")</f>
        <v>John Cartwright-Terry</v>
      </c>
      <c r="C4" s="5" t="str">
        <f ca="1">IFERROR(__xludf.dummyfunction("""COMPUTED_VALUE"""),"Stonyhurst College")</f>
        <v>Stonyhurst College</v>
      </c>
      <c r="D4" s="16" t="s">
        <v>169</v>
      </c>
      <c r="E4" s="22">
        <f ca="1">IFERROR(__xludf.dummyfunction("iferror(1000+INT(($N$2-(index(split(D5,"":""),1)*60+index(split(D5,"":""),2 )))/0.2+1)*$N$3,"""")"),1030)</f>
        <v>1030</v>
      </c>
      <c r="F4" s="16">
        <f ca="1">IFERROR(_xlfn.RANK.EQ(E4,E:E),"")</f>
        <v>3</v>
      </c>
      <c r="G4" s="16" t="s">
        <v>170</v>
      </c>
      <c r="H4" s="22">
        <f ca="1">IFERROR(__xludf.dummyfunction("iferror(1000+INT(($N$4-(index(split(G5,"":""),1)*60+index(split(G5,"":""),2 )))/0.2+1)*$N$5,"""")"),802)</f>
        <v>802</v>
      </c>
      <c r="I4" s="16">
        <f ca="1">IFERROR(_xlfn.RANK.EQ(H4,H:H),"")</f>
        <v>3</v>
      </c>
      <c r="J4" s="22">
        <f ca="1">IF(AND(D4="", G4=""), "", E4+H4)</f>
        <v>1832</v>
      </c>
      <c r="K4" s="16">
        <v>2</v>
      </c>
      <c r="L4" s="16"/>
      <c r="M4" s="27" t="s">
        <v>31</v>
      </c>
      <c r="N4" s="10">
        <f>VLOOKUP($L$1,'Scoring tables'!$A$2:$K$57,5,0)</f>
        <v>160</v>
      </c>
    </row>
    <row r="5" spans="1:14" ht="14.5" x14ac:dyDescent="0.35">
      <c r="A5" s="16">
        <f ca="1">IFERROR(__xludf.dummyfunction("""COMPUTED_VALUE"""),194)</f>
        <v>194</v>
      </c>
      <c r="B5" s="5" t="str">
        <f ca="1">IFERROR(__xludf.dummyfunction("""COMPUTED_VALUE"""),"Jonathan Smithey")</f>
        <v>Jonathan Smithey</v>
      </c>
      <c r="C5" s="5"/>
      <c r="D5" s="16" t="s">
        <v>171</v>
      </c>
      <c r="E5" s="22">
        <f ca="1">IFERROR(__xludf.dummyfunction("iferror(1000+INT(($N$2-(index(split(D6,"":""),1)*60+index(split(D6,"":""),2 )))/0.2+1)*$N$3,"""")"),1018)</f>
        <v>1018</v>
      </c>
      <c r="F5" s="16">
        <f ca="1">IFERROR(_xlfn.RANK.EQ(E5,E:E),"")</f>
        <v>4</v>
      </c>
      <c r="G5" s="16" t="s">
        <v>172</v>
      </c>
      <c r="H5" s="22">
        <f ca="1">IFERROR(__xludf.dummyfunction("iferror(1000+INT(($N$4-(index(split(G6,"":""),1)*60+index(split(G6,"":""),2 )))/0.2+1)*$N$5,"""")"),772)</f>
        <v>772</v>
      </c>
      <c r="I5" s="16">
        <f ca="1">IFERROR(_xlfn.RANK.EQ(H5,H:H),"")</f>
        <v>4</v>
      </c>
      <c r="J5" s="22">
        <f ca="1">IF(AND(D5="", G5=""), "", E5+H5)</f>
        <v>1790</v>
      </c>
      <c r="K5" s="16">
        <v>3</v>
      </c>
      <c r="L5" s="16"/>
      <c r="M5" s="27" t="s">
        <v>32</v>
      </c>
      <c r="N5" s="10">
        <f>VLOOKUP($L$1,'Scoring tables'!$A$2:$K$57,6,0)</f>
        <v>3</v>
      </c>
    </row>
    <row r="6" spans="1:14" ht="14.5" x14ac:dyDescent="0.35">
      <c r="A6" s="28">
        <f ca="1">IFERROR(__xludf.dummyfunction("""COMPUTED_VALUE"""),191)</f>
        <v>191</v>
      </c>
      <c r="B6" s="29" t="str">
        <f ca="1">IFERROR(__xludf.dummyfunction("""COMPUTED_VALUE"""),"Samuel Greaves")</f>
        <v>Samuel Greaves</v>
      </c>
      <c r="C6" s="29" t="str">
        <f ca="1">IFERROR(__xludf.dummyfunction("""COMPUTED_VALUE"""),"Highclare School")</f>
        <v>Highclare School</v>
      </c>
      <c r="D6" s="28"/>
      <c r="E6" s="30" t="str">
        <f ca="1">IFERROR(__xludf.dummyfunction("iferror(1000+INT(($N$2-(index(split(D3,"":""),1)*60+index(split(D3,"":""),2 )))/0.2+1)*$N$3,"""")"),"")</f>
        <v/>
      </c>
      <c r="F6" s="28" t="str">
        <f ca="1">IFERROR(_xlfn.RANK.EQ(E6,E:E),"")</f>
        <v/>
      </c>
      <c r="G6" s="28"/>
      <c r="H6" s="30" t="str">
        <f ca="1">IFERROR(__xludf.dummyfunction("iferror(1000+INT(($N$4-(index(split(G3,"":""),1)*60+index(split(G3,"":""),2 )))/0.2+1)*$N$5,"""")"),"")</f>
        <v/>
      </c>
      <c r="I6" s="28" t="str">
        <f ca="1">IFERROR(_xlfn.RANK.EQ(H6,H:H),"")</f>
        <v/>
      </c>
      <c r="J6" s="28" t="str">
        <f>IF(AND(D6="", G6=""), "", E6+H6)</f>
        <v/>
      </c>
      <c r="K6" s="28" t="s">
        <v>444</v>
      </c>
      <c r="L6" s="28"/>
    </row>
    <row r="7" spans="1:14" ht="14" x14ac:dyDescent="0.3">
      <c r="A7" s="8"/>
      <c r="B7" s="8"/>
      <c r="C7" s="8"/>
      <c r="D7" s="8"/>
      <c r="E7" s="9" t="str">
        <f ca="1">IFERROR(__xludf.dummyfunction("iferror(1000+INT(($N$2-(index(split(D7,"":""),1)*60+index(split(D7,"":""),2 )))/0.2+1)*$N$3,"""")"),"")</f>
        <v/>
      </c>
      <c r="F7" s="8" t="str">
        <f ca="1">IFERROR(_xlfn.RANK.EQ(E7,E:E),"")</f>
        <v/>
      </c>
      <c r="G7" s="8"/>
      <c r="H7" s="9" t="str">
        <f ca="1">IFERROR(__xludf.dummyfunction("iferror(1000+INT(($N$4-(index(split(G7,"":""),1)*60+index(split(G7,"":""),2 )))/0.2+1)*$N$5,"""")"),"")</f>
        <v/>
      </c>
      <c r="I7" s="8" t="str">
        <f ca="1">IFERROR(_xlfn.RANK.EQ(H7,H:H),"")</f>
        <v/>
      </c>
      <c r="J7" s="8" t="str">
        <f t="shared" ref="J7:J26" si="0">IF(AND(D7="", G7=""), "", E7+H7)</f>
        <v/>
      </c>
      <c r="K7" s="8" t="str">
        <f>IFERROR(_xlfn.RANK.EQ(J7,J:J),"")</f>
        <v/>
      </c>
      <c r="L7" s="8"/>
    </row>
    <row r="8" spans="1:14" ht="14" x14ac:dyDescent="0.3">
      <c r="A8" s="8"/>
      <c r="B8" s="8"/>
      <c r="C8" s="8"/>
      <c r="D8" s="11"/>
      <c r="E8" s="9" t="str">
        <f ca="1">IFERROR(__xludf.dummyfunction("iferror(1000+INT(($N$2-(index(split(D8,"":""),1)*60+index(split(D8,"":""),2 )))/0.2+1)*$N$3,"""")"),"")</f>
        <v/>
      </c>
      <c r="F8" s="8" t="str">
        <f ca="1">IFERROR(_xlfn.RANK.EQ(E8,E:E),"")</f>
        <v/>
      </c>
      <c r="G8" s="8"/>
      <c r="H8" s="9" t="str">
        <f ca="1">IFERROR(__xludf.dummyfunction("iferror(1000+INT(($N$4-(index(split(G8,"":""),1)*60+index(split(G8,"":""),2 )))/0.2+1)*$N$5,"""")"),"")</f>
        <v/>
      </c>
      <c r="I8" s="8" t="str">
        <f ca="1">IFERROR(_xlfn.RANK.EQ(H8,H:H),"")</f>
        <v/>
      </c>
      <c r="J8" s="8" t="str">
        <f t="shared" si="0"/>
        <v/>
      </c>
      <c r="K8" s="8" t="str">
        <f>IFERROR(_xlfn.RANK.EQ(J8,J:J),"")</f>
        <v/>
      </c>
      <c r="L8" s="8"/>
    </row>
    <row r="9" spans="1:14" ht="14" x14ac:dyDescent="0.3">
      <c r="A9" s="8"/>
      <c r="B9" s="8"/>
      <c r="C9" s="8"/>
      <c r="D9" s="8"/>
      <c r="E9" s="9" t="str">
        <f ca="1">IFERROR(__xludf.dummyfunction("iferror(1000+INT(($N$2-(index(split(D9,"":""),1)*60+index(split(D9,"":""),2 )))/0.2+1)*$N$3,"""")"),"")</f>
        <v/>
      </c>
      <c r="F9" s="8" t="str">
        <f ca="1">IFERROR(_xlfn.RANK.EQ(E9,E:E),"")</f>
        <v/>
      </c>
      <c r="G9" s="8"/>
      <c r="H9" s="9" t="str">
        <f ca="1">IFERROR(__xludf.dummyfunction("iferror(1000+INT(($N$4-(index(split(G9,"":""),1)*60+index(split(G9,"":""),2 )))/0.2+1)*$N$5,"""")"),"")</f>
        <v/>
      </c>
      <c r="I9" s="8" t="str">
        <f ca="1">IFERROR(_xlfn.RANK.EQ(H9,H:H),"")</f>
        <v/>
      </c>
      <c r="J9" s="8" t="str">
        <f t="shared" si="0"/>
        <v/>
      </c>
      <c r="K9" s="8" t="str">
        <f>IFERROR(_xlfn.RANK.EQ(J9,J:J),"")</f>
        <v/>
      </c>
      <c r="L9" s="8"/>
    </row>
    <row r="10" spans="1:14" ht="14" x14ac:dyDescent="0.3">
      <c r="A10" s="8"/>
      <c r="B10" s="8"/>
      <c r="C10" s="8"/>
      <c r="D10" s="8"/>
      <c r="E10" s="9" t="str">
        <f ca="1">IFERROR(__xludf.dummyfunction("iferror(1000+INT(($N$2-(index(split(D10,"":""),1)*60+index(split(D10,"":""),2 )))/0.2+1)*$N$3,"""")"),"")</f>
        <v/>
      </c>
      <c r="F10" s="8" t="str">
        <f ca="1">IFERROR(_xlfn.RANK.EQ(E10,E:E),"")</f>
        <v/>
      </c>
      <c r="G10" s="8"/>
      <c r="H10" s="9" t="str">
        <f ca="1">IFERROR(__xludf.dummyfunction("iferror(1000+INT(($N$4-(index(split(G10,"":""),1)*60+index(split(G10,"":""),2 )))/0.2+1)*$N$5,"""")"),"")</f>
        <v/>
      </c>
      <c r="I10" s="8" t="str">
        <f ca="1">IFERROR(_xlfn.RANK.EQ(H10,H:H),"")</f>
        <v/>
      </c>
      <c r="J10" s="8" t="str">
        <f t="shared" si="0"/>
        <v/>
      </c>
      <c r="K10" s="8" t="str">
        <f>IFERROR(_xlfn.RANK.EQ(J10,J:J),"")</f>
        <v/>
      </c>
      <c r="L10" s="8"/>
    </row>
    <row r="11" spans="1:14" ht="14" x14ac:dyDescent="0.3">
      <c r="A11" s="8"/>
      <c r="B11" s="8"/>
      <c r="C11" s="8"/>
      <c r="D11" s="8"/>
      <c r="E11" s="9" t="str">
        <f ca="1">IFERROR(__xludf.dummyfunction("iferror(1000+INT(($N$2-(index(split(D11,"":""),1)*60+index(split(D11,"":""),2 )))/0.2+1)*$N$3,"""")"),"")</f>
        <v/>
      </c>
      <c r="F11" s="8" t="str">
        <f ca="1">IFERROR(_xlfn.RANK.EQ(E11,E:E),"")</f>
        <v/>
      </c>
      <c r="G11" s="8"/>
      <c r="H11" s="9" t="str">
        <f ca="1">IFERROR(__xludf.dummyfunction("iferror(1000+INT(($N$4-(index(split(G11,"":""),1)*60+index(split(G11,"":""),2 )))/0.2+1)*$N$5,"""")"),"")</f>
        <v/>
      </c>
      <c r="I11" s="8" t="str">
        <f ca="1">IFERROR(_xlfn.RANK.EQ(H11,H:H),"")</f>
        <v/>
      </c>
      <c r="J11" s="8" t="str">
        <f t="shared" si="0"/>
        <v/>
      </c>
      <c r="K11" s="8" t="str">
        <f>IFERROR(_xlfn.RANK.EQ(J11,J:J),"")</f>
        <v/>
      </c>
      <c r="L11" s="8"/>
    </row>
    <row r="12" spans="1:14" ht="14" x14ac:dyDescent="0.3">
      <c r="A12" s="8"/>
      <c r="B12" s="8"/>
      <c r="C12" s="8"/>
      <c r="D12" s="8"/>
      <c r="E12" s="9" t="str">
        <f ca="1">IFERROR(__xludf.dummyfunction("iferror(1000+INT(($N$2-(index(split(D12,"":""),1)*60+index(split(D12,"":""),2 )))/0.2+1)*$N$3,"""")"),"")</f>
        <v/>
      </c>
      <c r="F12" s="8" t="str">
        <f ca="1">IFERROR(_xlfn.RANK.EQ(E12,E:E),"")</f>
        <v/>
      </c>
      <c r="G12" s="8"/>
      <c r="H12" s="9" t="str">
        <f ca="1">IFERROR(__xludf.dummyfunction("iferror(1000+INT(($N$4-(index(split(G12,"":""),1)*60+index(split(G12,"":""),2 )))/0.2+1)*$N$5,"""")"),"")</f>
        <v/>
      </c>
      <c r="I12" s="8" t="str">
        <f ca="1">IFERROR(_xlfn.RANK.EQ(H12,H:H),"")</f>
        <v/>
      </c>
      <c r="J12" s="8" t="str">
        <f t="shared" si="0"/>
        <v/>
      </c>
      <c r="K12" s="8" t="str">
        <f>IFERROR(_xlfn.RANK.EQ(J12,J:J),"")</f>
        <v/>
      </c>
      <c r="L12" s="8"/>
    </row>
    <row r="13" spans="1:14" ht="14" x14ac:dyDescent="0.3">
      <c r="A13" s="8"/>
      <c r="B13" s="8"/>
      <c r="C13" s="8"/>
      <c r="D13" s="8"/>
      <c r="E13" s="9" t="str">
        <f ca="1">IFERROR(__xludf.dummyfunction("iferror(1000+INT(($N$2-(index(split(D13,"":""),1)*60+index(split(D13,"":""),2 )))/0.2+1)*$N$3,"""")"),"")</f>
        <v/>
      </c>
      <c r="F13" s="8" t="str">
        <f ca="1">IFERROR(_xlfn.RANK.EQ(E13,E:E),"")</f>
        <v/>
      </c>
      <c r="G13" s="8"/>
      <c r="H13" s="9" t="str">
        <f ca="1">IFERROR(__xludf.dummyfunction("iferror(1000+INT(($N$4-(index(split(G13,"":""),1)*60+index(split(G13,"":""),2 )))/0.2+1)*$N$5,"""")"),"")</f>
        <v/>
      </c>
      <c r="I13" s="8" t="str">
        <f ca="1">IFERROR(_xlfn.RANK.EQ(H13,H:H),"")</f>
        <v/>
      </c>
      <c r="J13" s="8" t="str">
        <f t="shared" si="0"/>
        <v/>
      </c>
      <c r="K13" s="8" t="str">
        <f>IFERROR(_xlfn.RANK.EQ(J13,J:J),"")</f>
        <v/>
      </c>
      <c r="L13" s="8"/>
    </row>
    <row r="14" spans="1:14" ht="14" x14ac:dyDescent="0.3">
      <c r="A14" s="8"/>
      <c r="B14" s="8"/>
      <c r="C14" s="8"/>
      <c r="D14" s="8"/>
      <c r="E14" s="9" t="str">
        <f ca="1">IFERROR(__xludf.dummyfunction("iferror(1000+INT(($N$2-(index(split(D14,"":""),1)*60+index(split(D14,"":""),2 )))/0.2+1)*$N$3,"""")"),"")</f>
        <v/>
      </c>
      <c r="F14" s="8" t="str">
        <f ca="1">IFERROR(_xlfn.RANK.EQ(E14,E:E),"")</f>
        <v/>
      </c>
      <c r="G14" s="8"/>
      <c r="H14" s="9" t="str">
        <f ca="1">IFERROR(__xludf.dummyfunction("iferror(1000+INT(($N$4-(index(split(G14,"":""),1)*60+index(split(G14,"":""),2 )))/0.2+1)*$N$5,"""")"),"")</f>
        <v/>
      </c>
      <c r="I14" s="8" t="str">
        <f ca="1">IFERROR(_xlfn.RANK.EQ(H14,H:H),"")</f>
        <v/>
      </c>
      <c r="J14" s="8" t="str">
        <f t="shared" si="0"/>
        <v/>
      </c>
      <c r="K14" s="8" t="str">
        <f>IFERROR(_xlfn.RANK.EQ(J14,J:J),"")</f>
        <v/>
      </c>
      <c r="L14" s="8"/>
    </row>
    <row r="15" spans="1:14" ht="14" x14ac:dyDescent="0.3">
      <c r="A15" s="8"/>
      <c r="B15" s="8"/>
      <c r="C15" s="8"/>
      <c r="D15" s="8"/>
      <c r="E15" s="9" t="str">
        <f ca="1">IFERROR(__xludf.dummyfunction("iferror(1000+INT(($N$2-(index(split(D15,"":""),1)*60+index(split(D15,"":""),2 )))/0.2+1)*$N$3,"""")"),"")</f>
        <v/>
      </c>
      <c r="F15" s="8" t="str">
        <f ca="1">IFERROR(_xlfn.RANK.EQ(E15,E:E),"")</f>
        <v/>
      </c>
      <c r="G15" s="8"/>
      <c r="H15" s="9" t="str">
        <f ca="1">IFERROR(__xludf.dummyfunction("iferror(1000+INT(($N$4-(index(split(G15,"":""),1)*60+index(split(G15,"":""),2 )))/0.2+1)*$N$5,"""")"),"")</f>
        <v/>
      </c>
      <c r="I15" s="8" t="str">
        <f ca="1">IFERROR(_xlfn.RANK.EQ(H15,H:H),"")</f>
        <v/>
      </c>
      <c r="J15" s="8" t="str">
        <f t="shared" si="0"/>
        <v/>
      </c>
      <c r="K15" s="8" t="str">
        <f>IFERROR(_xlfn.RANK.EQ(J15,J:J),"")</f>
        <v/>
      </c>
      <c r="L15" s="8"/>
    </row>
    <row r="16" spans="1:14" ht="14" x14ac:dyDescent="0.3">
      <c r="A16" s="8"/>
      <c r="B16" s="8"/>
      <c r="C16" s="8"/>
      <c r="D16" s="8"/>
      <c r="E16" s="9" t="str">
        <f ca="1">IFERROR(__xludf.dummyfunction("iferror(1000+INT(($N$2-(index(split(D16,"":""),1)*60+index(split(D16,"":""),2 )))/0.2+1)*$N$3,"""")"),"")</f>
        <v/>
      </c>
      <c r="F16" s="8" t="str">
        <f ca="1">IFERROR(_xlfn.RANK.EQ(E16,E:E),"")</f>
        <v/>
      </c>
      <c r="G16" s="8"/>
      <c r="H16" s="9" t="str">
        <f ca="1">IFERROR(__xludf.dummyfunction("iferror(1000+INT(($N$4-(index(split(G16,"":""),1)*60+index(split(G16,"":""),2 )))/0.2+1)*$N$5,"""")"),"")</f>
        <v/>
      </c>
      <c r="I16" s="8" t="str">
        <f ca="1">IFERROR(_xlfn.RANK.EQ(H16,H:H),"")</f>
        <v/>
      </c>
      <c r="J16" s="8" t="str">
        <f t="shared" si="0"/>
        <v/>
      </c>
      <c r="K16" s="8" t="str">
        <f>IFERROR(_xlfn.RANK.EQ(J16,J:J),"")</f>
        <v/>
      </c>
      <c r="L16" s="8"/>
    </row>
    <row r="17" spans="1:12" ht="14" x14ac:dyDescent="0.3">
      <c r="A17" s="8"/>
      <c r="B17" s="8"/>
      <c r="C17" s="8"/>
      <c r="D17" s="8"/>
      <c r="E17" s="9" t="str">
        <f ca="1">IFERROR(__xludf.dummyfunction("iferror(1000+INT(($N$2-(index(split(D17,"":""),1)*60+index(split(D17,"":""),2 )))/0.2+1)*$N$3,"""")"),"")</f>
        <v/>
      </c>
      <c r="F17" s="8" t="str">
        <f ca="1">IFERROR(_xlfn.RANK.EQ(E17,E:E),"")</f>
        <v/>
      </c>
      <c r="G17" s="8"/>
      <c r="H17" s="9" t="str">
        <f ca="1">IFERROR(__xludf.dummyfunction("iferror(1000+INT(($N$4-(index(split(G17,"":""),1)*60+index(split(G17,"":""),2 )))/0.2+1)*$N$5,"""")"),"")</f>
        <v/>
      </c>
      <c r="I17" s="8" t="str">
        <f ca="1">IFERROR(_xlfn.RANK.EQ(H17,H:H),"")</f>
        <v/>
      </c>
      <c r="J17" s="8" t="str">
        <f t="shared" si="0"/>
        <v/>
      </c>
      <c r="K17" s="8" t="str">
        <f>IFERROR(_xlfn.RANK.EQ(J17,J:J),"")</f>
        <v/>
      </c>
      <c r="L17" s="8"/>
    </row>
    <row r="18" spans="1:12" ht="14" x14ac:dyDescent="0.3">
      <c r="A18" s="8"/>
      <c r="B18" s="8"/>
      <c r="C18" s="8"/>
      <c r="D18" s="8"/>
      <c r="E18" s="9" t="str">
        <f ca="1">IFERROR(__xludf.dummyfunction("iferror(1000+INT(($N$2-(index(split(D18,"":""),1)*60+index(split(D18,"":""),2 )))/0.2+1)*$N$3,"""")"),"")</f>
        <v/>
      </c>
      <c r="F18" s="8" t="str">
        <f ca="1">IFERROR(_xlfn.RANK.EQ(E18,E:E),"")</f>
        <v/>
      </c>
      <c r="G18" s="8"/>
      <c r="H18" s="9" t="str">
        <f ca="1">IFERROR(__xludf.dummyfunction("iferror(1000+INT(($N$4-(index(split(G18,"":""),1)*60+index(split(G18,"":""),2 )))/0.2+1)*$N$5,"""")"),"")</f>
        <v/>
      </c>
      <c r="I18" s="8" t="str">
        <f ca="1">IFERROR(_xlfn.RANK.EQ(H18,H:H),"")</f>
        <v/>
      </c>
      <c r="J18" s="8" t="str">
        <f t="shared" si="0"/>
        <v/>
      </c>
      <c r="K18" s="8" t="str">
        <f>IFERROR(_xlfn.RANK.EQ(J18,J:J),"")</f>
        <v/>
      </c>
      <c r="L18" s="8"/>
    </row>
    <row r="19" spans="1:12" ht="14" x14ac:dyDescent="0.3">
      <c r="A19" s="8"/>
      <c r="B19" s="8"/>
      <c r="C19" s="8"/>
      <c r="D19" s="8"/>
      <c r="E19" s="9" t="str">
        <f ca="1">IFERROR(__xludf.dummyfunction("iferror(1000+INT(($N$2-(index(split(D19,"":""),1)*60+index(split(D19,"":""),2 )))/0.2+1)*$N$3,"""")"),"")</f>
        <v/>
      </c>
      <c r="F19" s="8" t="str">
        <f ca="1">IFERROR(_xlfn.RANK.EQ(E19,E:E),"")</f>
        <v/>
      </c>
      <c r="G19" s="8"/>
      <c r="H19" s="9" t="str">
        <f ca="1">IFERROR(__xludf.dummyfunction("iferror(1000+INT(($N$4-(index(split(G19,"":""),1)*60+index(split(G19,"":""),2 )))/0.2+1)*$N$5,"""")"),"")</f>
        <v/>
      </c>
      <c r="I19" s="8" t="str">
        <f ca="1">IFERROR(_xlfn.RANK.EQ(H19,H:H),"")</f>
        <v/>
      </c>
      <c r="J19" s="8" t="str">
        <f t="shared" si="0"/>
        <v/>
      </c>
      <c r="K19" s="8" t="str">
        <f>IFERROR(_xlfn.RANK.EQ(J19,J:J),"")</f>
        <v/>
      </c>
      <c r="L19" s="8"/>
    </row>
    <row r="20" spans="1:12" ht="14" x14ac:dyDescent="0.3">
      <c r="A20" s="8"/>
      <c r="B20" s="8"/>
      <c r="C20" s="8"/>
      <c r="D20" s="8"/>
      <c r="E20" s="9" t="str">
        <f ca="1">IFERROR(__xludf.dummyfunction("iferror(1000+INT(($N$2-(index(split(D20,"":""),1)*60+index(split(D20,"":""),2 )))/0.2+1)*$N$3,"""")"),"")</f>
        <v/>
      </c>
      <c r="F20" s="8" t="str">
        <f ca="1">IFERROR(_xlfn.RANK.EQ(E20,E:E),"")</f>
        <v/>
      </c>
      <c r="G20" s="8"/>
      <c r="H20" s="9" t="str">
        <f ca="1">IFERROR(__xludf.dummyfunction("iferror(1000+INT(($N$4-(index(split(G20,"":""),1)*60+index(split(G20,"":""),2 )))/0.2+1)*$N$5,"""")"),"")</f>
        <v/>
      </c>
      <c r="I20" s="8" t="str">
        <f ca="1">IFERROR(_xlfn.RANK.EQ(H20,H:H),"")</f>
        <v/>
      </c>
      <c r="J20" s="8" t="str">
        <f t="shared" si="0"/>
        <v/>
      </c>
      <c r="K20" s="8" t="str">
        <f>IFERROR(_xlfn.RANK.EQ(J20,J:J),"")</f>
        <v/>
      </c>
      <c r="L20" s="8"/>
    </row>
    <row r="21" spans="1:12" ht="14" x14ac:dyDescent="0.3">
      <c r="A21" s="8"/>
      <c r="B21" s="8"/>
      <c r="C21" s="8"/>
      <c r="D21" s="8"/>
      <c r="E21" s="9" t="str">
        <f ca="1">IFERROR(__xludf.dummyfunction("iferror(1000+INT(($N$2-(index(split(D21,"":""),1)*60+index(split(D21,"":""),2 )))/0.2+1)*$N$3,"""")"),"")</f>
        <v/>
      </c>
      <c r="F21" s="8" t="str">
        <f ca="1">IFERROR(_xlfn.RANK.EQ(E21,E:E),"")</f>
        <v/>
      </c>
      <c r="G21" s="8"/>
      <c r="H21" s="9" t="str">
        <f ca="1">IFERROR(__xludf.dummyfunction("iferror(1000+INT(($N$4-(index(split(G21,"":""),1)*60+index(split(G21,"":""),2 )))/0.2+1)*$N$5,"""")"),"")</f>
        <v/>
      </c>
      <c r="I21" s="8" t="str">
        <f ca="1">IFERROR(_xlfn.RANK.EQ(H21,H:H),"")</f>
        <v/>
      </c>
      <c r="J21" s="8" t="str">
        <f t="shared" si="0"/>
        <v/>
      </c>
      <c r="K21" s="8" t="str">
        <f>IFERROR(_xlfn.RANK.EQ(J21,J:J),"")</f>
        <v/>
      </c>
      <c r="L21" s="8"/>
    </row>
    <row r="22" spans="1:12" ht="14" x14ac:dyDescent="0.3">
      <c r="A22" s="8"/>
      <c r="B22" s="8"/>
      <c r="C22" s="8"/>
      <c r="D22" s="8"/>
      <c r="E22" s="9" t="str">
        <f ca="1">IFERROR(__xludf.dummyfunction("iferror(1000+INT(($N$2-(index(split(D22,"":""),1)*60+index(split(D22,"":""),2 )))/0.2+1)*$N$3,"""")"),"")</f>
        <v/>
      </c>
      <c r="F22" s="8" t="str">
        <f ca="1">IFERROR(_xlfn.RANK.EQ(E22,E:E),"")</f>
        <v/>
      </c>
      <c r="G22" s="8"/>
      <c r="H22" s="9" t="str">
        <f ca="1">IFERROR(__xludf.dummyfunction("iferror(1000+INT(($N$4-(index(split(G22,"":""),1)*60+index(split(G22,"":""),2 )))/0.2+1)*$N$5,"""")"),"")</f>
        <v/>
      </c>
      <c r="I22" s="8" t="str">
        <f ca="1">IFERROR(_xlfn.RANK.EQ(H22,H:H),"")</f>
        <v/>
      </c>
      <c r="J22" s="8" t="str">
        <f t="shared" si="0"/>
        <v/>
      </c>
      <c r="K22" s="8" t="str">
        <f>IFERROR(_xlfn.RANK.EQ(J22,J:J),"")</f>
        <v/>
      </c>
      <c r="L22" s="8"/>
    </row>
    <row r="23" spans="1:12" ht="14" x14ac:dyDescent="0.3">
      <c r="A23" s="8"/>
      <c r="B23" s="8"/>
      <c r="C23" s="8"/>
      <c r="D23" s="8"/>
      <c r="E23" s="9" t="str">
        <f ca="1">IFERROR(__xludf.dummyfunction("iferror(1000+INT(($N$2-(index(split(D23,"":""),1)*60+index(split(D23,"":""),2 )))/0.2+1)*$N$3,"""")"),"")</f>
        <v/>
      </c>
      <c r="F23" s="8" t="str">
        <f ca="1">IFERROR(_xlfn.RANK.EQ(E23,E:E),"")</f>
        <v/>
      </c>
      <c r="G23" s="8"/>
      <c r="H23" s="9" t="str">
        <f ca="1">IFERROR(__xludf.dummyfunction("iferror(1000+INT(($N$4-(index(split(G23,"":""),1)*60+index(split(G23,"":""),2 )))/0.2+1)*$N$5,"""")"),"")</f>
        <v/>
      </c>
      <c r="I23" s="8" t="str">
        <f ca="1">IFERROR(_xlfn.RANK.EQ(H23,H:H),"")</f>
        <v/>
      </c>
      <c r="J23" s="8" t="str">
        <f t="shared" si="0"/>
        <v/>
      </c>
      <c r="K23" s="8" t="str">
        <f>IFERROR(_xlfn.RANK.EQ(J23,J:J),"")</f>
        <v/>
      </c>
      <c r="L23" s="8"/>
    </row>
    <row r="24" spans="1:12" ht="14" x14ac:dyDescent="0.3">
      <c r="A24" s="8"/>
      <c r="B24" s="8"/>
      <c r="C24" s="8"/>
      <c r="D24" s="8"/>
      <c r="E24" s="9" t="str">
        <f ca="1">IFERROR(__xludf.dummyfunction("iferror(1000+INT(($N$2-(index(split(D24,"":""),1)*60+index(split(D24,"":""),2 )))/0.2+1)*$N$3,"""")"),"")</f>
        <v/>
      </c>
      <c r="F24" s="8" t="str">
        <f ca="1">IFERROR(_xlfn.RANK.EQ(E24,E:E),"")</f>
        <v/>
      </c>
      <c r="G24" s="8"/>
      <c r="H24" s="9" t="str">
        <f ca="1">IFERROR(__xludf.dummyfunction("iferror(1000+INT(($N$4-(index(split(G24,"":""),1)*60+index(split(G24,"":""),2 )))/0.2+1)*$N$5,"""")"),"")</f>
        <v/>
      </c>
      <c r="I24" s="8" t="str">
        <f ca="1">IFERROR(_xlfn.RANK.EQ(H24,H:H),"")</f>
        <v/>
      </c>
      <c r="J24" s="8" t="str">
        <f t="shared" si="0"/>
        <v/>
      </c>
      <c r="K24" s="8" t="str">
        <f>IFERROR(_xlfn.RANK.EQ(J24,J:J),"")</f>
        <v/>
      </c>
      <c r="L24" s="8"/>
    </row>
    <row r="25" spans="1:12" ht="14" x14ac:dyDescent="0.3">
      <c r="A25" s="8"/>
      <c r="B25" s="8"/>
      <c r="C25" s="8"/>
      <c r="D25" s="8"/>
      <c r="E25" s="9" t="str">
        <f ca="1">IFERROR(__xludf.dummyfunction("iferror(1000+INT(($N$2-(index(split(D25,"":""),1)*60+index(split(D25,"":""),2 )))/0.2+1)*$N$3,"""")"),"")</f>
        <v/>
      </c>
      <c r="F25" s="8" t="str">
        <f ca="1">IFERROR(_xlfn.RANK.EQ(E25,E:E),"")</f>
        <v/>
      </c>
      <c r="G25" s="8"/>
      <c r="H25" s="9" t="str">
        <f ca="1">IFERROR(__xludf.dummyfunction("iferror(1000+INT(($N$4-(index(split(G25,"":""),1)*60+index(split(G25,"":""),2 )))/0.2+1)*$N$5,"""")"),"")</f>
        <v/>
      </c>
      <c r="I25" s="8" t="str">
        <f ca="1">IFERROR(_xlfn.RANK.EQ(H25,H:H),"")</f>
        <v/>
      </c>
      <c r="J25" s="8" t="str">
        <f t="shared" si="0"/>
        <v/>
      </c>
      <c r="K25" s="8" t="str">
        <f>IFERROR(_xlfn.RANK.EQ(J25,J:J),"")</f>
        <v/>
      </c>
      <c r="L25" s="8"/>
    </row>
    <row r="26" spans="1:12" ht="14" x14ac:dyDescent="0.3">
      <c r="A26" s="8"/>
      <c r="B26" s="8"/>
      <c r="C26" s="8"/>
      <c r="D26" s="8"/>
      <c r="E26" s="9" t="str">
        <f ca="1">IFERROR(__xludf.dummyfunction("iferror(1000+INT(($N$2-(index(split(D26,"":""),1)*60+index(split(D26,"":""),2 )))/0.2+1)*$N$3,"""")"),"")</f>
        <v/>
      </c>
      <c r="F26" s="8" t="str">
        <f ca="1">IFERROR(_xlfn.RANK.EQ(E26,E:E),"")</f>
        <v/>
      </c>
      <c r="G26" s="8"/>
      <c r="H26" s="9" t="str">
        <f ca="1">IFERROR(__xludf.dummyfunction("iferror(1000+INT(($N$4-(index(split(G26,"":""),1)*60+index(split(G26,"":""),2 )))/0.2+1)*$N$5,"""")"),"")</f>
        <v/>
      </c>
      <c r="I26" s="8" t="str">
        <f ca="1">IFERROR(_xlfn.RANK.EQ(H26,H:H),"")</f>
        <v/>
      </c>
      <c r="J26" s="8" t="str">
        <f t="shared" si="0"/>
        <v/>
      </c>
      <c r="K26" s="8" t="str">
        <f>IFERROR(_xlfn.RANK.EQ(J26,J:J),"")</f>
        <v/>
      </c>
      <c r="L26" s="8"/>
    </row>
    <row r="27" spans="1:12" ht="14" x14ac:dyDescent="0.3">
      <c r="A27" s="8"/>
      <c r="B27" s="8"/>
      <c r="C27" s="8"/>
      <c r="D27" s="8"/>
      <c r="E27" s="9" t="str">
        <f ca="1">IFERROR(__xludf.dummyfunction("iferror(1000+INT(($N$2-(index(split(D27,"":""),1)*60+index(split(D27,"":""),2 )))/0.2+1)*$N$3,"""")"),"")</f>
        <v/>
      </c>
      <c r="F27" s="8" t="str">
        <f ca="1">IFERROR(_xlfn.RANK.EQ(E27,E:E),"")</f>
        <v/>
      </c>
      <c r="G27" s="8"/>
      <c r="H27" s="9" t="str">
        <f ca="1">IFERROR(__xludf.dummyfunction("iferror(1000+INT(($N$4-(index(split(G27,"":""),1)*60+index(split(G27,"":""),2 )))/0.2+1)*$N$5,"""")"),"")</f>
        <v/>
      </c>
      <c r="I27" s="8" t="str">
        <f ca="1">IFERROR(_xlfn.RANK.EQ(H27,H:H),"")</f>
        <v/>
      </c>
      <c r="J27" s="8" t="str">
        <f>IF(AND(D27="", G27=""), "", E27+H27)</f>
        <v/>
      </c>
      <c r="K27" s="8" t="str">
        <f>IFERROR(_xlfn.RANK.EQ(J27,J:J),"")</f>
        <v/>
      </c>
      <c r="L27" s="8"/>
    </row>
    <row r="28" spans="1:12" ht="14" x14ac:dyDescent="0.3">
      <c r="A28" s="8"/>
      <c r="B28" s="8"/>
      <c r="C28" s="8"/>
      <c r="D28" s="8"/>
      <c r="E28" s="9" t="str">
        <f ca="1">IFERROR(__xludf.dummyfunction("iferror(1000+INT(($N$2-(index(split(D28,"":""),1)*60+index(split(D28,"":""),2 )))/0.2+1)*$N$3,"""")"),"")</f>
        <v/>
      </c>
      <c r="F28" s="8" t="str">
        <f ca="1">IFERROR(_xlfn.RANK.EQ(E28,E:E),"")</f>
        <v/>
      </c>
      <c r="G28" s="8"/>
      <c r="H28" s="9" t="str">
        <f ca="1">IFERROR(__xludf.dummyfunction("iferror(1000+INT(($N$4-(index(split(G28,"":""),1)*60+index(split(G28,"":""),2 )))/0.2+1)*$N$5,"""")"),"")</f>
        <v/>
      </c>
      <c r="I28" s="8" t="str">
        <f ca="1">IFERROR(_xlfn.RANK.EQ(H28,H:H),"")</f>
        <v/>
      </c>
      <c r="J28" s="8" t="str">
        <f>IF(AND(D28="", G28=""), "", E28+H28)</f>
        <v/>
      </c>
      <c r="K28" s="8" t="str">
        <f>IFERROR(_xlfn.RANK.EQ(J28,J:J),"")</f>
        <v/>
      </c>
      <c r="L28" s="8"/>
    </row>
    <row r="29" spans="1:12" ht="14" x14ac:dyDescent="0.3">
      <c r="A29" s="8"/>
      <c r="B29" s="8"/>
      <c r="C29" s="8"/>
      <c r="D29" s="8"/>
      <c r="E29" s="9" t="str">
        <f ca="1">IFERROR(__xludf.dummyfunction("iferror(1000+INT(($N$2-(index(split(D29,"":""),1)*60+index(split(D29,"":""),2 )))/0.2+1)*$N$3,"""")"),"")</f>
        <v/>
      </c>
      <c r="F29" s="8" t="str">
        <f ca="1">IFERROR(_xlfn.RANK.EQ(E29,E:E),"")</f>
        <v/>
      </c>
      <c r="G29" s="8"/>
      <c r="H29" s="9" t="str">
        <f ca="1">IFERROR(__xludf.dummyfunction("iferror(1000+INT(($N$4-(index(split(G29,"":""),1)*60+index(split(G29,"":""),2 )))/0.2+1)*$N$5,"""")"),"")</f>
        <v/>
      </c>
      <c r="I29" s="8" t="str">
        <f ca="1">IFERROR(_xlfn.RANK.EQ(H29,H:H),"")</f>
        <v/>
      </c>
      <c r="J29" s="8" t="str">
        <f>IF(AND(D29="", G29=""), "", E29+H29)</f>
        <v/>
      </c>
      <c r="K29" s="8" t="str">
        <f>IFERROR(_xlfn.RANK.EQ(J29,J:J),"")</f>
        <v/>
      </c>
      <c r="L29" s="8"/>
    </row>
    <row r="30" spans="1:12" ht="14" x14ac:dyDescent="0.3">
      <c r="A30" s="8"/>
      <c r="B30" s="8"/>
      <c r="C30" s="8"/>
      <c r="D30" s="8"/>
      <c r="E30" s="9" t="str">
        <f ca="1">IFERROR(__xludf.dummyfunction("iferror(1000+INT(($N$2-(index(split(D30,"":""),1)*60+index(split(D30,"":""),2 )))/0.2+1)*$N$3,"""")"),"")</f>
        <v/>
      </c>
      <c r="F30" s="8" t="str">
        <f ca="1">IFERROR(_xlfn.RANK.EQ(E30,E:E),"")</f>
        <v/>
      </c>
      <c r="G30" s="8"/>
      <c r="H30" s="9" t="str">
        <f ca="1">IFERROR(__xludf.dummyfunction("iferror(1000+INT(($N$4-(index(split(G30,"":""),1)*60+index(split(G30,"":""),2 )))/0.2+1)*$N$5,"""")"),"")</f>
        <v/>
      </c>
      <c r="I30" s="8" t="str">
        <f ca="1">IFERROR(_xlfn.RANK.EQ(H30,H:H),"")</f>
        <v/>
      </c>
      <c r="J30" s="8" t="str">
        <f>IF(AND(D30="", G30=""), "", E30+H30)</f>
        <v/>
      </c>
      <c r="K30" s="8" t="str">
        <f>IFERROR(_xlfn.RANK.EQ(J30,J:J),"")</f>
        <v/>
      </c>
      <c r="L30" s="8"/>
    </row>
    <row r="31" spans="1:12" ht="14" x14ac:dyDescent="0.3">
      <c r="A31" s="8"/>
      <c r="B31" s="8"/>
      <c r="C31" s="8"/>
      <c r="D31" s="8"/>
      <c r="E31" s="9" t="str">
        <f ca="1">IFERROR(__xludf.dummyfunction("iferror(1000+INT(($N$2-(index(split(D31,"":""),1)*60+index(split(D31,"":""),2 )))/0.2+1)*$N$3,"""")"),"")</f>
        <v/>
      </c>
      <c r="F31" s="8" t="str">
        <f ca="1">IFERROR(_xlfn.RANK.EQ(E31,E:E),"")</f>
        <v/>
      </c>
      <c r="G31" s="8"/>
      <c r="H31" s="9" t="str">
        <f ca="1">IFERROR(__xludf.dummyfunction("iferror(1000+INT(($N$4-(index(split(G31,"":""),1)*60+index(split(G31,"":""),2 )))/0.2+1)*$N$5,"""")"),"")</f>
        <v/>
      </c>
      <c r="I31" s="8" t="str">
        <f ca="1">IFERROR(_xlfn.RANK.EQ(H31,H:H),"")</f>
        <v/>
      </c>
      <c r="J31" s="8" t="str">
        <f>IF(AND(D31="", G31=""), "", E31+H31)</f>
        <v/>
      </c>
      <c r="K31" s="8" t="str">
        <f>IFERROR(_xlfn.RANK.EQ(J31,J:J),"")</f>
        <v/>
      </c>
      <c r="L31" s="8"/>
    </row>
    <row r="32" spans="1:12" ht="14" x14ac:dyDescent="0.3">
      <c r="A32" s="8"/>
      <c r="B32" s="8"/>
      <c r="C32" s="8"/>
      <c r="D32" s="8"/>
      <c r="E32" s="9" t="str">
        <f ca="1">IFERROR(__xludf.dummyfunction("iferror(1000+INT(($N$2-(index(split(D32,"":""),1)*60+index(split(D32,"":""),2 )))/0.2+1)*$N$3,"""")"),"")</f>
        <v/>
      </c>
      <c r="F32" s="8" t="str">
        <f ca="1">IFERROR(_xlfn.RANK.EQ(E32,E:E),"")</f>
        <v/>
      </c>
      <c r="G32" s="8"/>
      <c r="H32" s="9" t="str">
        <f ca="1">IFERROR(__xludf.dummyfunction("iferror(1000+INT(($N$4-(index(split(G32,"":""),1)*60+index(split(G32,"":""),2 )))/0.2+1)*$N$5,"""")"),"")</f>
        <v/>
      </c>
      <c r="I32" s="8" t="str">
        <f ca="1">IFERROR(_xlfn.RANK.EQ(H32,H:H),"")</f>
        <v/>
      </c>
      <c r="J32" s="8" t="str">
        <f>IF(AND(D32="", G32=""), "", E32+H32)</f>
        <v/>
      </c>
      <c r="K32" s="8" t="str">
        <f>IFERROR(_xlfn.RANK.EQ(J32,J:J),"")</f>
        <v/>
      </c>
      <c r="L32" s="8"/>
    </row>
    <row r="33" spans="1:12" ht="14" x14ac:dyDescent="0.3">
      <c r="A33" s="8"/>
      <c r="B33" s="8"/>
      <c r="C33" s="8"/>
      <c r="D33" s="8"/>
      <c r="E33" s="9" t="str">
        <f ca="1">IFERROR(__xludf.dummyfunction("iferror(1000+INT(($N$2-(index(split(D33,"":""),1)*60+index(split(D33,"":""),2 )))/0.2+1)*$N$3,"""")"),"")</f>
        <v/>
      </c>
      <c r="F33" s="8" t="str">
        <f ca="1">IFERROR(_xlfn.RANK.EQ(E33,E:E),"")</f>
        <v/>
      </c>
      <c r="G33" s="8"/>
      <c r="H33" s="9" t="str">
        <f ca="1">IFERROR(__xludf.dummyfunction("iferror(1000+INT(($N$4-(index(split(G33,"":""),1)*60+index(split(G33,"":""),2 )))/0.2+1)*$N$5,"""")"),"")</f>
        <v/>
      </c>
      <c r="I33" s="8" t="str">
        <f ca="1">IFERROR(_xlfn.RANK.EQ(H33,H:H),"")</f>
        <v/>
      </c>
      <c r="J33" s="8" t="str">
        <f>IF(AND(D33="", G33=""), "", E33+H33)</f>
        <v/>
      </c>
      <c r="K33" s="8" t="str">
        <f>IFERROR(_xlfn.RANK.EQ(J33,J:J),"")</f>
        <v/>
      </c>
      <c r="L33" s="8"/>
    </row>
    <row r="34" spans="1:12" ht="14" x14ac:dyDescent="0.3">
      <c r="A34" s="8"/>
      <c r="B34" s="8"/>
      <c r="C34" s="8"/>
      <c r="D34" s="8"/>
      <c r="E34" s="9" t="str">
        <f ca="1">IFERROR(__xludf.dummyfunction("iferror(1000+INT(($N$2-(index(split(D34,"":""),1)*60+index(split(D34,"":""),2 )))/0.2+1)*$N$3,"""")"),"")</f>
        <v/>
      </c>
      <c r="F34" s="8" t="str">
        <f ca="1">IFERROR(_xlfn.RANK.EQ(E34,E:E),"")</f>
        <v/>
      </c>
      <c r="G34" s="8"/>
      <c r="H34" s="9" t="str">
        <f ca="1">IFERROR(__xludf.dummyfunction("iferror(1000+INT(($N$4-(index(split(G34,"":""),1)*60+index(split(G34,"":""),2 )))/0.2+1)*$N$5,"""")"),"")</f>
        <v/>
      </c>
      <c r="I34" s="8" t="str">
        <f ca="1">IFERROR(_xlfn.RANK.EQ(H34,H:H),"")</f>
        <v/>
      </c>
      <c r="J34" s="8" t="str">
        <f>IF(AND(D34="", G34=""), "", E34+H34)</f>
        <v/>
      </c>
      <c r="K34" s="8" t="str">
        <f>IFERROR(_xlfn.RANK.EQ(J34,J:J),"")</f>
        <v/>
      </c>
      <c r="L34" s="8"/>
    </row>
    <row r="35" spans="1:12" ht="14" x14ac:dyDescent="0.3">
      <c r="A35" s="8"/>
      <c r="B35" s="8"/>
      <c r="C35" s="8"/>
      <c r="D35" s="8"/>
      <c r="E35" s="9" t="str">
        <f ca="1">IFERROR(__xludf.dummyfunction("iferror(1000+INT(($N$2-(index(split(D35,"":""),1)*60+index(split(D35,"":""),2 )))/0.2+1)*$N$3,"""")"),"")</f>
        <v/>
      </c>
      <c r="F35" s="8" t="str">
        <f ca="1">IFERROR(_xlfn.RANK.EQ(E35,E:E),"")</f>
        <v/>
      </c>
      <c r="G35" s="8"/>
      <c r="H35" s="9" t="str">
        <f ca="1">IFERROR(__xludf.dummyfunction("iferror(1000+INT(($N$4-(index(split(G35,"":""),1)*60+index(split(G35,"":""),2 )))/0.2+1)*$N$5,"""")"),"")</f>
        <v/>
      </c>
      <c r="I35" s="8" t="str">
        <f ca="1">IFERROR(_xlfn.RANK.EQ(H35,H:H),"")</f>
        <v/>
      </c>
      <c r="J35" s="8" t="str">
        <f>IF(AND(D35="", G35=""), "", E35+H35)</f>
        <v/>
      </c>
      <c r="K35" s="8" t="str">
        <f>IFERROR(_xlfn.RANK.EQ(J35,J:J),"")</f>
        <v/>
      </c>
      <c r="L35" s="8"/>
    </row>
    <row r="36" spans="1:12" ht="14" x14ac:dyDescent="0.3">
      <c r="A36" s="8"/>
      <c r="B36" s="8"/>
      <c r="C36" s="8"/>
      <c r="D36" s="8"/>
      <c r="E36" s="9" t="str">
        <f ca="1">IFERROR(__xludf.dummyfunction("iferror(1000+INT(($N$2-(index(split(D36,"":""),1)*60+index(split(D36,"":""),2 )))/0.2+1)*$N$3,"""")"),"")</f>
        <v/>
      </c>
      <c r="F36" s="8" t="str">
        <f ca="1">IFERROR(_xlfn.RANK.EQ(E36,E:E),"")</f>
        <v/>
      </c>
      <c r="G36" s="8"/>
      <c r="H36" s="9" t="str">
        <f ca="1">IFERROR(__xludf.dummyfunction("iferror(1000+INT(($N$4-(index(split(G36,"":""),1)*60+index(split(G36,"":""),2 )))/0.2+1)*$N$5,"""")"),"")</f>
        <v/>
      </c>
      <c r="I36" s="8" t="str">
        <f ca="1">IFERROR(_xlfn.RANK.EQ(H36,H:H),"")</f>
        <v/>
      </c>
      <c r="J36" s="8" t="str">
        <f>IF(AND(D36="", G36=""), "", E36+H36)</f>
        <v/>
      </c>
      <c r="K36" s="8" t="str">
        <f>IFERROR(_xlfn.RANK.EQ(J36,J:J),"")</f>
        <v/>
      </c>
      <c r="L36" s="8"/>
    </row>
    <row r="37" spans="1:12" ht="14" x14ac:dyDescent="0.3">
      <c r="A37" s="8"/>
      <c r="B37" s="8"/>
      <c r="C37" s="8"/>
      <c r="D37" s="8"/>
      <c r="E37" s="9" t="str">
        <f ca="1">IFERROR(__xludf.dummyfunction("iferror(1000+INT(($N$2-(index(split(D37,"":""),1)*60+index(split(D37,"":""),2 )))/0.2+1)*$N$3,"""")"),"")</f>
        <v/>
      </c>
      <c r="F37" s="8" t="str">
        <f ca="1">IFERROR(_xlfn.RANK.EQ(E37,E:E),"")</f>
        <v/>
      </c>
      <c r="G37" s="8"/>
      <c r="H37" s="9" t="str">
        <f ca="1">IFERROR(__xludf.dummyfunction("iferror(1000+INT(($N$4-(index(split(G37,"":""),1)*60+index(split(G37,"":""),2 )))/0.2+1)*$N$5,"""")"),"")</f>
        <v/>
      </c>
      <c r="I37" s="8" t="str">
        <f ca="1">IFERROR(_xlfn.RANK.EQ(H37,H:H),"")</f>
        <v/>
      </c>
      <c r="J37" s="8" t="str">
        <f>IF(AND(D37="", G37=""), "", E37+H37)</f>
        <v/>
      </c>
      <c r="K37" s="8" t="str">
        <f>IFERROR(_xlfn.RANK.EQ(J37,J:J),"")</f>
        <v/>
      </c>
      <c r="L37" s="8"/>
    </row>
    <row r="38" spans="1:12" ht="14" x14ac:dyDescent="0.3">
      <c r="A38" s="8"/>
      <c r="B38" s="8"/>
      <c r="C38" s="8"/>
      <c r="D38" s="8"/>
      <c r="E38" s="9" t="str">
        <f ca="1">IFERROR(__xludf.dummyfunction("iferror(1000+INT(($N$2-(index(split(D38,"":""),1)*60+index(split(D38,"":""),2 )))/0.2+1)*$N$3,"""")"),"")</f>
        <v/>
      </c>
      <c r="F38" s="8" t="str">
        <f ca="1">IFERROR(_xlfn.RANK.EQ(E38,E:E),"")</f>
        <v/>
      </c>
      <c r="G38" s="8"/>
      <c r="H38" s="9" t="str">
        <f ca="1">IFERROR(__xludf.dummyfunction("iferror(1000+INT(($N$4-(index(split(G38,"":""),1)*60+index(split(G38,"":""),2 )))/0.2+1)*$N$5,"""")"),"")</f>
        <v/>
      </c>
      <c r="I38" s="8" t="str">
        <f ca="1">IFERROR(_xlfn.RANK.EQ(H38,H:H),"")</f>
        <v/>
      </c>
      <c r="J38" s="8" t="str">
        <f>IF(AND(D38="", G38=""), "", E38+H38)</f>
        <v/>
      </c>
      <c r="K38" s="8" t="str">
        <f>IFERROR(_xlfn.RANK.EQ(J38,J:J),"")</f>
        <v/>
      </c>
      <c r="L38" s="8"/>
    </row>
    <row r="39" spans="1:12" ht="14" x14ac:dyDescent="0.3">
      <c r="A39" s="8"/>
      <c r="B39" s="8"/>
      <c r="C39" s="8"/>
      <c r="D39" s="8"/>
      <c r="E39" s="9" t="str">
        <f ca="1">IFERROR(__xludf.dummyfunction("iferror(1000+INT(($N$2-(index(split(D39,"":""),1)*60+index(split(D39,"":""),2 )))/0.2+1)*$N$3,"""")"),"")</f>
        <v/>
      </c>
      <c r="F39" s="8" t="str">
        <f ca="1">IFERROR(_xlfn.RANK.EQ(E39,E:E),"")</f>
        <v/>
      </c>
      <c r="G39" s="8"/>
      <c r="H39" s="9" t="str">
        <f ca="1">IFERROR(__xludf.dummyfunction("iferror(1000+INT(($N$4-(index(split(G39,"":""),1)*60+index(split(G39,"":""),2 )))/0.2+1)*$N$5,"""")"),"")</f>
        <v/>
      </c>
      <c r="I39" s="8" t="str">
        <f ca="1">IFERROR(_xlfn.RANK.EQ(H39,H:H),"")</f>
        <v/>
      </c>
      <c r="J39" s="8" t="str">
        <f>IF(AND(D39="", G39=""), "", E39+H39)</f>
        <v/>
      </c>
      <c r="K39" s="8" t="str">
        <f>IFERROR(_xlfn.RANK.EQ(J39,J:J),"")</f>
        <v/>
      </c>
      <c r="L39" s="8"/>
    </row>
    <row r="40" spans="1:12" ht="14" x14ac:dyDescent="0.3">
      <c r="A40" s="8"/>
      <c r="B40" s="8"/>
      <c r="C40" s="8"/>
      <c r="D40" s="8"/>
      <c r="E40" s="9" t="str">
        <f ca="1">IFERROR(__xludf.dummyfunction("iferror(1000+INT(($N$2-(index(split(D40,"":""),1)*60+index(split(D40,"":""),2 )))/0.2+1)*$N$3,"""")"),"")</f>
        <v/>
      </c>
      <c r="F40" s="8" t="str">
        <f ca="1">IFERROR(_xlfn.RANK.EQ(E40,E:E),"")</f>
        <v/>
      </c>
      <c r="G40" s="8"/>
      <c r="H40" s="9" t="str">
        <f ca="1">IFERROR(__xludf.dummyfunction("iferror(1000+INT(($N$4-(index(split(G40,"":""),1)*60+index(split(G40,"":""),2 )))/0.2+1)*$N$5,"""")"),"")</f>
        <v/>
      </c>
      <c r="I40" s="8" t="str">
        <f ca="1">IFERROR(_xlfn.RANK.EQ(H40,H:H),"")</f>
        <v/>
      </c>
      <c r="J40" s="8" t="str">
        <f>IF(AND(D40="", G40=""), "", E40+H40)</f>
        <v/>
      </c>
      <c r="K40" s="8" t="str">
        <f>IFERROR(_xlfn.RANK.EQ(J40,J:J),"")</f>
        <v/>
      </c>
      <c r="L40" s="8"/>
    </row>
    <row r="41" spans="1:12" ht="14" x14ac:dyDescent="0.3">
      <c r="A41" s="8"/>
      <c r="B41" s="8"/>
      <c r="C41" s="8"/>
      <c r="D41" s="8"/>
      <c r="E41" s="9" t="str">
        <f ca="1">IFERROR(__xludf.dummyfunction("iferror(1000+INT(($N$2-(index(split(D41,"":""),1)*60+index(split(D41,"":""),2 )))/0.2+1)*$N$3,"""")"),"")</f>
        <v/>
      </c>
      <c r="F41" s="8" t="str">
        <f ca="1">IFERROR(_xlfn.RANK.EQ(E41,E:E),"")</f>
        <v/>
      </c>
      <c r="G41" s="8"/>
      <c r="H41" s="9" t="str">
        <f ca="1">IFERROR(__xludf.dummyfunction("iferror(1000+INT(($N$4-(index(split(G41,"":""),1)*60+index(split(G41,"":""),2 )))/0.2+1)*$N$5,"""")"),"")</f>
        <v/>
      </c>
      <c r="I41" s="8" t="str">
        <f ca="1">IFERROR(_xlfn.RANK.EQ(H41,H:H),"")</f>
        <v/>
      </c>
      <c r="J41" s="8" t="str">
        <f>IF(AND(D41="", G41=""), "", E41+H41)</f>
        <v/>
      </c>
      <c r="K41" s="8" t="str">
        <f>IFERROR(_xlfn.RANK.EQ(J41,J:J),"")</f>
        <v/>
      </c>
      <c r="L41" s="8"/>
    </row>
    <row r="42" spans="1:12" ht="14" x14ac:dyDescent="0.3">
      <c r="A42" s="8"/>
      <c r="B42" s="8"/>
      <c r="C42" s="8"/>
      <c r="D42" s="8"/>
      <c r="E42" s="9" t="str">
        <f ca="1">IFERROR(__xludf.dummyfunction("iferror(1000+INT(($N$2-(index(split(D42,"":""),1)*60+index(split(D42,"":""),2 )))/0.2+1)*$N$3,"""")"),"")</f>
        <v/>
      </c>
      <c r="F42" s="8" t="str">
        <f ca="1">IFERROR(_xlfn.RANK.EQ(E42,E:E),"")</f>
        <v/>
      </c>
      <c r="G42" s="8"/>
      <c r="H42" s="9" t="str">
        <f ca="1">IFERROR(__xludf.dummyfunction("iferror(1000+INT(($N$4-(index(split(G42,"":""),1)*60+index(split(G42,"":""),2 )))/0.2+1)*$N$5,"""")"),"")</f>
        <v/>
      </c>
      <c r="I42" s="8" t="str">
        <f ca="1">IFERROR(_xlfn.RANK.EQ(H42,H:H),"")</f>
        <v/>
      </c>
      <c r="J42" s="8" t="str">
        <f>IF(AND(D42="", G42=""), "", E42+H42)</f>
        <v/>
      </c>
      <c r="K42" s="8" t="str">
        <f>IFERROR(_xlfn.RANK.EQ(J42,J:J),"")</f>
        <v/>
      </c>
      <c r="L42" s="8"/>
    </row>
    <row r="43" spans="1:12" ht="14" x14ac:dyDescent="0.3">
      <c r="A43" s="8"/>
      <c r="B43" s="8"/>
      <c r="C43" s="8"/>
      <c r="D43" s="8"/>
      <c r="E43" s="9" t="str">
        <f ca="1">IFERROR(__xludf.dummyfunction("iferror(1000+INT(($N$2-(index(split(D43,"":""),1)*60+index(split(D43,"":""),2 )))/0.2+1)*$N$3,"""")"),"")</f>
        <v/>
      </c>
      <c r="F43" s="8" t="str">
        <f ca="1">IFERROR(_xlfn.RANK.EQ(E43,E:E),"")</f>
        <v/>
      </c>
      <c r="G43" s="8"/>
      <c r="H43" s="9" t="str">
        <f ca="1">IFERROR(__xludf.dummyfunction("iferror(1000+INT(($N$4-(index(split(G43,"":""),1)*60+index(split(G43,"":""),2 )))/0.2+1)*$N$5,"""")"),"")</f>
        <v/>
      </c>
      <c r="I43" s="8" t="str">
        <f ca="1">IFERROR(_xlfn.RANK.EQ(H43,H:H),"")</f>
        <v/>
      </c>
      <c r="J43" s="8" t="str">
        <f>IF(AND(D43="", G43=""), "", E43+H43)</f>
        <v/>
      </c>
      <c r="K43" s="8" t="str">
        <f>IFERROR(_xlfn.RANK.EQ(J43,J:J),"")</f>
        <v/>
      </c>
      <c r="L43" s="8"/>
    </row>
    <row r="44" spans="1:12" ht="14" x14ac:dyDescent="0.3">
      <c r="A44" s="8"/>
      <c r="B44" s="8"/>
      <c r="C44" s="8"/>
      <c r="D44" s="8"/>
      <c r="E44" s="9" t="str">
        <f ca="1">IFERROR(__xludf.dummyfunction("iferror(1000+INT(($N$2-(index(split(D44,"":""),1)*60+index(split(D44,"":""),2 )))/0.2+1)*$N$3,"""")"),"")</f>
        <v/>
      </c>
      <c r="F44" s="8" t="str">
        <f ca="1">IFERROR(_xlfn.RANK.EQ(E44,E:E),"")</f>
        <v/>
      </c>
      <c r="G44" s="8"/>
      <c r="H44" s="9" t="str">
        <f ca="1">IFERROR(__xludf.dummyfunction("iferror(1000+INT(($N$4-(index(split(G44,"":""),1)*60+index(split(G44,"":""),2 )))/0.2+1)*$N$5,"""")"),"")</f>
        <v/>
      </c>
      <c r="I44" s="8" t="str">
        <f ca="1">IFERROR(_xlfn.RANK.EQ(H44,H:H),"")</f>
        <v/>
      </c>
      <c r="J44" s="8" t="str">
        <f>IF(AND(D44="", G44=""), "", E44+H44)</f>
        <v/>
      </c>
      <c r="K44" s="8" t="str">
        <f>IFERROR(_xlfn.RANK.EQ(J44,J:J),"")</f>
        <v/>
      </c>
      <c r="L44" s="8"/>
    </row>
    <row r="45" spans="1:12" ht="14" x14ac:dyDescent="0.3">
      <c r="A45" s="8"/>
      <c r="B45" s="8"/>
      <c r="C45" s="8"/>
      <c r="D45" s="8"/>
      <c r="E45" s="9" t="str">
        <f ca="1">IFERROR(__xludf.dummyfunction("iferror(1000+INT(($N$2-(index(split(D45,"":""),1)*60+index(split(D45,"":""),2 )))/0.2+1)*$N$3,"""")"),"")</f>
        <v/>
      </c>
      <c r="F45" s="8" t="str">
        <f ca="1">IFERROR(_xlfn.RANK.EQ(E45,E:E),"")</f>
        <v/>
      </c>
      <c r="G45" s="8"/>
      <c r="H45" s="9" t="str">
        <f ca="1">IFERROR(__xludf.dummyfunction("iferror(1000+INT(($N$4-(index(split(G45,"":""),1)*60+index(split(G45,"":""),2 )))/0.2+1)*$N$5,"""")"),"")</f>
        <v/>
      </c>
      <c r="I45" s="8" t="str">
        <f ca="1">IFERROR(_xlfn.RANK.EQ(H45,H:H),"")</f>
        <v/>
      </c>
      <c r="J45" s="8" t="str">
        <f>IF(AND(D45="", G45=""), "", E45+H45)</f>
        <v/>
      </c>
      <c r="K45" s="8" t="str">
        <f>IFERROR(_xlfn.RANK.EQ(J45,J:J),"")</f>
        <v/>
      </c>
      <c r="L45" s="8"/>
    </row>
    <row r="46" spans="1:12" ht="14" x14ac:dyDescent="0.3">
      <c r="A46" s="8"/>
      <c r="B46" s="8"/>
      <c r="C46" s="8"/>
      <c r="D46" s="8"/>
      <c r="E46" s="9" t="str">
        <f ca="1">IFERROR(__xludf.dummyfunction("iferror(1000+INT(($N$2-(index(split(D46,"":""),1)*60+index(split(D46,"":""),2 )))/0.2+1)*$N$3,"""")"),"")</f>
        <v/>
      </c>
      <c r="F46" s="8" t="str">
        <f ca="1">IFERROR(_xlfn.RANK.EQ(E46,E:E),"")</f>
        <v/>
      </c>
      <c r="G46" s="8"/>
      <c r="H46" s="9" t="str">
        <f ca="1">IFERROR(__xludf.dummyfunction("iferror(1000+INT(($N$4-(index(split(G46,"":""),1)*60+index(split(G46,"":""),2 )))/0.2+1)*$N$5,"""")"),"")</f>
        <v/>
      </c>
      <c r="I46" s="8" t="str">
        <f ca="1">IFERROR(_xlfn.RANK.EQ(H46,H:H),"")</f>
        <v/>
      </c>
      <c r="J46" s="8" t="str">
        <f>IF(AND(D46="", G46=""), "", E46+H46)</f>
        <v/>
      </c>
      <c r="K46" s="8" t="str">
        <f>IFERROR(_xlfn.RANK.EQ(J46,J:J),"")</f>
        <v/>
      </c>
      <c r="L46" s="8"/>
    </row>
    <row r="47" spans="1:12" ht="14" x14ac:dyDescent="0.3">
      <c r="A47" s="8"/>
      <c r="B47" s="8"/>
      <c r="C47" s="8"/>
      <c r="D47" s="8"/>
      <c r="E47" s="9" t="str">
        <f ca="1">IFERROR(__xludf.dummyfunction("iferror(1000+INT(($N$2-(index(split(D47,"":""),1)*60+index(split(D47,"":""),2 )))/0.2+1)*$N$3,"""")"),"")</f>
        <v/>
      </c>
      <c r="F47" s="8" t="str">
        <f ca="1">IFERROR(_xlfn.RANK.EQ(E47,E:E),"")</f>
        <v/>
      </c>
      <c r="G47" s="8"/>
      <c r="H47" s="9" t="str">
        <f ca="1">IFERROR(__xludf.dummyfunction("iferror(1000+INT(($N$4-(index(split(G47,"":""),1)*60+index(split(G47,"":""),2 )))/0.2+1)*$N$5,"""")"),"")</f>
        <v/>
      </c>
      <c r="I47" s="8" t="str">
        <f ca="1">IFERROR(_xlfn.RANK.EQ(H47,H:H),"")</f>
        <v/>
      </c>
      <c r="J47" s="8" t="str">
        <f>IF(AND(D47="", G47=""), "", E47+H47)</f>
        <v/>
      </c>
      <c r="K47" s="8" t="str">
        <f>IFERROR(_xlfn.RANK.EQ(J47,J:J),"")</f>
        <v/>
      </c>
      <c r="L47" s="8"/>
    </row>
    <row r="48" spans="1:12" ht="14" x14ac:dyDescent="0.3">
      <c r="A48" s="8"/>
      <c r="B48" s="8"/>
      <c r="C48" s="8"/>
      <c r="D48" s="8"/>
      <c r="E48" s="9" t="str">
        <f ca="1">IFERROR(__xludf.dummyfunction("iferror(1000+INT(($N$2-(index(split(D48,"":""),1)*60+index(split(D48,"":""),2 )))/0.2+1)*$N$3,"""")"),"")</f>
        <v/>
      </c>
      <c r="F48" s="8" t="str">
        <f ca="1">IFERROR(_xlfn.RANK.EQ(E48,E:E),"")</f>
        <v/>
      </c>
      <c r="G48" s="8"/>
      <c r="H48" s="9" t="str">
        <f ca="1">IFERROR(__xludf.dummyfunction("iferror(1000+INT(($N$4-(index(split(G48,"":""),1)*60+index(split(G48,"":""),2 )))/0.2+1)*$N$5,"""")"),"")</f>
        <v/>
      </c>
      <c r="I48" s="8" t="str">
        <f ca="1">IFERROR(_xlfn.RANK.EQ(H48,H:H),"")</f>
        <v/>
      </c>
      <c r="J48" s="8" t="str">
        <f>IF(AND(D48="", G48=""), "", E48+H48)</f>
        <v/>
      </c>
      <c r="K48" s="8" t="str">
        <f>IFERROR(_xlfn.RANK.EQ(J48,J:J),"")</f>
        <v/>
      </c>
      <c r="L48" s="8"/>
    </row>
    <row r="49" spans="1:12" ht="14" x14ac:dyDescent="0.3">
      <c r="A49" s="8"/>
      <c r="B49" s="8"/>
      <c r="C49" s="8"/>
      <c r="D49" s="8"/>
      <c r="E49" s="9" t="str">
        <f ca="1">IFERROR(__xludf.dummyfunction("iferror(1000+INT(($N$2-(index(split(D49,"":""),1)*60+index(split(D49,"":""),2 )))/0.2+1)*$N$3,"""")"),"")</f>
        <v/>
      </c>
      <c r="F49" s="8" t="str">
        <f ca="1">IFERROR(_xlfn.RANK.EQ(E49,E:E),"")</f>
        <v/>
      </c>
      <c r="G49" s="8"/>
      <c r="H49" s="9" t="str">
        <f ca="1">IFERROR(__xludf.dummyfunction("iferror(1000+INT(($N$4-(index(split(G49,"":""),1)*60+index(split(G49,"":""),2 )))/0.2+1)*$N$5,"""")"),"")</f>
        <v/>
      </c>
      <c r="I49" s="8" t="str">
        <f ca="1">IFERROR(_xlfn.RANK.EQ(H49,H:H),"")</f>
        <v/>
      </c>
      <c r="J49" s="8" t="str">
        <f>IF(AND(D49="", G49=""), "", E49+H49)</f>
        <v/>
      </c>
      <c r="K49" s="8" t="str">
        <f>IFERROR(_xlfn.RANK.EQ(J49,J:J),"")</f>
        <v/>
      </c>
      <c r="L49" s="8"/>
    </row>
    <row r="50" spans="1:12" ht="14" x14ac:dyDescent="0.3">
      <c r="A50" s="8"/>
      <c r="B50" s="8"/>
      <c r="C50" s="8"/>
      <c r="D50" s="8"/>
      <c r="E50" s="9" t="str">
        <f ca="1">IFERROR(__xludf.dummyfunction("iferror(1000+INT(($N$2-(index(split(D50,"":""),1)*60+index(split(D50,"":""),2 )))/0.2+1)*$N$3,"""")"),"")</f>
        <v/>
      </c>
      <c r="F50" s="8" t="str">
        <f ca="1">IFERROR(_xlfn.RANK.EQ(E50,E:E),"")</f>
        <v/>
      </c>
      <c r="G50" s="8"/>
      <c r="H50" s="9" t="str">
        <f ca="1">IFERROR(__xludf.dummyfunction("iferror(1000+INT(($N$4-(index(split(G50,"":""),1)*60+index(split(G50,"":""),2 )))/0.2+1)*$N$5,"""")"),"")</f>
        <v/>
      </c>
      <c r="I50" s="8" t="str">
        <f ca="1">IFERROR(_xlfn.RANK.EQ(H50,H:H),"")</f>
        <v/>
      </c>
      <c r="J50" s="8" t="str">
        <f>IF(AND(D50="", G50=""), "", E50+H50)</f>
        <v/>
      </c>
      <c r="K50" s="8" t="str">
        <f>IFERROR(_xlfn.RANK.EQ(J50,J:J),"")</f>
        <v/>
      </c>
      <c r="L50" s="8"/>
    </row>
    <row r="51" spans="1:12" ht="14" x14ac:dyDescent="0.3">
      <c r="A51" s="8"/>
      <c r="B51" s="8"/>
      <c r="C51" s="8"/>
      <c r="D51" s="8"/>
      <c r="E51" s="9" t="str">
        <f ca="1">IFERROR(__xludf.dummyfunction("iferror(1000+INT(($N$2-(index(split(D51,"":""),1)*60+index(split(D51,"":""),2 )))/0.2+1)*$N$3,"""")"),"")</f>
        <v/>
      </c>
      <c r="F51" s="8" t="str">
        <f ca="1">IFERROR(_xlfn.RANK.EQ(E51,E:E),"")</f>
        <v/>
      </c>
      <c r="G51" s="8"/>
      <c r="H51" s="9" t="str">
        <f ca="1">IFERROR(__xludf.dummyfunction("iferror(1000+INT(($N$4-(index(split(G51,"":""),1)*60+index(split(G51,"":""),2 )))/0.2+1)*$N$5,"""")"),"")</f>
        <v/>
      </c>
      <c r="I51" s="8" t="str">
        <f ca="1">IFERROR(_xlfn.RANK.EQ(H51,H:H),"")</f>
        <v/>
      </c>
      <c r="J51" s="8" t="str">
        <f>IF(AND(D51="", G51=""), "", E51+H51)</f>
        <v/>
      </c>
      <c r="K51" s="8" t="str">
        <f>IFERROR(_xlfn.RANK.EQ(J51,J:J),"")</f>
        <v/>
      </c>
      <c r="L51" s="8"/>
    </row>
    <row r="52" spans="1:12" ht="14" x14ac:dyDescent="0.3">
      <c r="A52" s="8"/>
      <c r="B52" s="8"/>
      <c r="C52" s="8"/>
      <c r="D52" s="8"/>
      <c r="E52" s="9" t="str">
        <f ca="1">IFERROR(__xludf.dummyfunction("iferror(1000+INT(($N$2-(index(split(D52,"":""),1)*60+index(split(D52,"":""),2 )))/0.2+1)*$N$3,"""")"),"")</f>
        <v/>
      </c>
      <c r="F52" s="8" t="str">
        <f ca="1">IFERROR(_xlfn.RANK.EQ(E52,E:E),"")</f>
        <v/>
      </c>
      <c r="G52" s="8"/>
      <c r="H52" s="9" t="str">
        <f ca="1">IFERROR(__xludf.dummyfunction("iferror(1000+INT(($N$4-(index(split(G52,"":""),1)*60+index(split(G52,"":""),2 )))/0.2+1)*$N$5,"""")"),"")</f>
        <v/>
      </c>
      <c r="I52" s="8" t="str">
        <f ca="1">IFERROR(_xlfn.RANK.EQ(H52,H:H),"")</f>
        <v/>
      </c>
      <c r="J52" s="8" t="str">
        <f>IF(AND(D52="", G52=""), "", E52+H52)</f>
        <v/>
      </c>
      <c r="K52" s="8" t="str">
        <f>IFERROR(_xlfn.RANK.EQ(J52,J:J),"")</f>
        <v/>
      </c>
      <c r="L52" s="8"/>
    </row>
    <row r="53" spans="1:12" ht="14" x14ac:dyDescent="0.3">
      <c r="A53" s="8"/>
      <c r="B53" s="8"/>
      <c r="C53" s="8"/>
      <c r="D53" s="8"/>
      <c r="E53" s="9" t="str">
        <f ca="1">IFERROR(__xludf.dummyfunction("iferror(1000+INT(($N$2-(index(split(D53,"":""),1)*60+index(split(D53,"":""),2 )))/0.2+1)*$N$3,"""")"),"")</f>
        <v/>
      </c>
      <c r="F53" s="8" t="str">
        <f ca="1">IFERROR(_xlfn.RANK.EQ(E53,E:E),"")</f>
        <v/>
      </c>
      <c r="G53" s="8"/>
      <c r="H53" s="9" t="str">
        <f ca="1">IFERROR(__xludf.dummyfunction("iferror(1000+INT(($N$4-(index(split(G53,"":""),1)*60+index(split(G53,"":""),2 )))/0.2+1)*$N$5,"""")"),"")</f>
        <v/>
      </c>
      <c r="I53" s="8" t="str">
        <f ca="1">IFERROR(_xlfn.RANK.EQ(H53,H:H),"")</f>
        <v/>
      </c>
      <c r="J53" s="8" t="str">
        <f>IF(AND(D53="", G53=""), "", E53+H53)</f>
        <v/>
      </c>
      <c r="K53" s="8" t="str">
        <f>IFERROR(_xlfn.RANK.EQ(J53,J:J),"")</f>
        <v/>
      </c>
      <c r="L53" s="8"/>
    </row>
    <row r="54" spans="1:12" ht="14" x14ac:dyDescent="0.3">
      <c r="A54" s="8"/>
      <c r="B54" s="8"/>
      <c r="C54" s="8"/>
      <c r="D54" s="8"/>
      <c r="E54" s="9" t="str">
        <f ca="1">IFERROR(__xludf.dummyfunction("iferror(1000+INT(($N$2-(index(split(D54,"":""),1)*60+index(split(D54,"":""),2 )))/0.2+1)*$N$3,"""")"),"")</f>
        <v/>
      </c>
      <c r="F54" s="8" t="str">
        <f ca="1">IFERROR(_xlfn.RANK.EQ(E54,E:E),"")</f>
        <v/>
      </c>
      <c r="G54" s="8"/>
      <c r="H54" s="9" t="str">
        <f ca="1">IFERROR(__xludf.dummyfunction("iferror(1000+INT(($N$4-(index(split(G54,"":""),1)*60+index(split(G54,"":""),2 )))/0.2+1)*$N$5,"""")"),"")</f>
        <v/>
      </c>
      <c r="I54" s="8" t="str">
        <f ca="1">IFERROR(_xlfn.RANK.EQ(H54,H:H),"")</f>
        <v/>
      </c>
      <c r="J54" s="8" t="str">
        <f>IF(AND(D54="", G54=""), "", E54+H54)</f>
        <v/>
      </c>
      <c r="K54" s="8" t="str">
        <f>IFERROR(_xlfn.RANK.EQ(J54,J:J),"")</f>
        <v/>
      </c>
      <c r="L54" s="8"/>
    </row>
    <row r="55" spans="1:12" ht="14" x14ac:dyDescent="0.3">
      <c r="A55" s="8"/>
      <c r="B55" s="8"/>
      <c r="C55" s="8"/>
      <c r="D55" s="8"/>
      <c r="E55" s="9" t="str">
        <f ca="1">IFERROR(__xludf.dummyfunction("iferror(1000+INT(($N$2-(index(split(D55,"":""),1)*60+index(split(D55,"":""),2 )))/0.2+1)*$N$3,"""")"),"")</f>
        <v/>
      </c>
      <c r="F55" s="8" t="str">
        <f ca="1">IFERROR(_xlfn.RANK.EQ(E55,E:E),"")</f>
        <v/>
      </c>
      <c r="G55" s="8"/>
      <c r="H55" s="9" t="str">
        <f ca="1">IFERROR(__xludf.dummyfunction("iferror(1000+INT(($N$4-(index(split(G55,"":""),1)*60+index(split(G55,"":""),2 )))/0.2+1)*$N$5,"""")"),"")</f>
        <v/>
      </c>
      <c r="I55" s="8" t="str">
        <f ca="1">IFERROR(_xlfn.RANK.EQ(H55,H:H),"")</f>
        <v/>
      </c>
      <c r="J55" s="8" t="str">
        <f>IF(AND(D55="", G55=""), "", E55+H55)</f>
        <v/>
      </c>
      <c r="K55" s="8" t="str">
        <f>IFERROR(_xlfn.RANK.EQ(J55,J:J),"")</f>
        <v/>
      </c>
      <c r="L55" s="8"/>
    </row>
    <row r="56" spans="1:12" ht="14" x14ac:dyDescent="0.3">
      <c r="A56" s="8"/>
      <c r="B56" s="8"/>
      <c r="C56" s="8"/>
      <c r="D56" s="8"/>
      <c r="E56" s="9" t="str">
        <f ca="1">IFERROR(__xludf.dummyfunction("iferror(1000+INT(($N$2-(index(split(D56,"":""),1)*60+index(split(D56,"":""),2 )))/0.2+1)*$N$3,"""")"),"")</f>
        <v/>
      </c>
      <c r="F56" s="8" t="str">
        <f ca="1">IFERROR(_xlfn.RANK.EQ(E56,E:E),"")</f>
        <v/>
      </c>
      <c r="G56" s="8"/>
      <c r="H56" s="9" t="str">
        <f ca="1">IFERROR(__xludf.dummyfunction("iferror(1000+INT(($N$4-(index(split(G56,"":""),1)*60+index(split(G56,"":""),2 )))/0.2+1)*$N$5,"""")"),"")</f>
        <v/>
      </c>
      <c r="I56" s="8" t="str">
        <f ca="1">IFERROR(_xlfn.RANK.EQ(H56,H:H),"")</f>
        <v/>
      </c>
      <c r="J56" s="8" t="str">
        <f>IF(AND(D56="", G56=""), "", E56+H56)</f>
        <v/>
      </c>
      <c r="K56" s="8" t="str">
        <f>IFERROR(_xlfn.RANK.EQ(J56,J:J),"")</f>
        <v/>
      </c>
      <c r="L56" s="8"/>
    </row>
    <row r="57" spans="1:12" ht="14" x14ac:dyDescent="0.3">
      <c r="A57" s="8"/>
      <c r="B57" s="8"/>
      <c r="C57" s="8"/>
      <c r="D57" s="8"/>
      <c r="E57" s="9" t="str">
        <f ca="1">IFERROR(__xludf.dummyfunction("iferror(1000+INT(($N$2-(index(split(D57,"":""),1)*60+index(split(D57,"":""),2 )))/0.2+1)*$N$3,"""")"),"")</f>
        <v/>
      </c>
      <c r="F57" s="8" t="str">
        <f ca="1">IFERROR(_xlfn.RANK.EQ(E57,E:E),"")</f>
        <v/>
      </c>
      <c r="G57" s="8"/>
      <c r="H57" s="9" t="str">
        <f ca="1">IFERROR(__xludf.dummyfunction("iferror(1000+INT(($N$4-(index(split(G57,"":""),1)*60+index(split(G57,"":""),2 )))/0.2+1)*$N$5,"""")"),"")</f>
        <v/>
      </c>
      <c r="I57" s="8" t="str">
        <f ca="1">IFERROR(_xlfn.RANK.EQ(H57,H:H),"")</f>
        <v/>
      </c>
      <c r="J57" s="8" t="str">
        <f>IF(AND(D57="", G57=""), "", E57+H57)</f>
        <v/>
      </c>
      <c r="K57" s="8" t="str">
        <f>IFERROR(_xlfn.RANK.EQ(J57,J:J),"")</f>
        <v/>
      </c>
      <c r="L57" s="8"/>
    </row>
    <row r="58" spans="1:12" ht="14" x14ac:dyDescent="0.3">
      <c r="A58" s="8"/>
      <c r="B58" s="8"/>
      <c r="C58" s="8"/>
      <c r="D58" s="8"/>
      <c r="E58" s="9" t="str">
        <f ca="1">IFERROR(__xludf.dummyfunction("iferror(1000+INT(($N$2-(index(split(D58,"":""),1)*60+index(split(D58,"":""),2 )))/0.2+1)*$N$3,"""")"),"")</f>
        <v/>
      </c>
      <c r="F58" s="8" t="str">
        <f ca="1">IFERROR(_xlfn.RANK.EQ(E58,E:E),"")</f>
        <v/>
      </c>
      <c r="G58" s="8"/>
      <c r="H58" s="9" t="str">
        <f ca="1">IFERROR(__xludf.dummyfunction("iferror(1000+INT(($N$4-(index(split(G58,"":""),1)*60+index(split(G58,"":""),2 )))/0.2+1)*$N$5,"""")"),"")</f>
        <v/>
      </c>
      <c r="I58" s="8" t="str">
        <f ca="1">IFERROR(_xlfn.RANK.EQ(H58,H:H),"")</f>
        <v/>
      </c>
      <c r="J58" s="8" t="str">
        <f>IF(AND(D58="", G58=""), "", E58+H58)</f>
        <v/>
      </c>
      <c r="K58" s="8" t="str">
        <f>IFERROR(_xlfn.RANK.EQ(J58,J:J),"")</f>
        <v/>
      </c>
      <c r="L58" s="8"/>
    </row>
    <row r="59" spans="1:12" ht="14" x14ac:dyDescent="0.3">
      <c r="A59" s="8"/>
      <c r="B59" s="8"/>
      <c r="C59" s="8"/>
      <c r="D59" s="8"/>
      <c r="E59" s="9" t="str">
        <f ca="1">IFERROR(__xludf.dummyfunction("iferror(1000+INT(($N$2-(index(split(D59,"":""),1)*60+index(split(D59,"":""),2 )))/0.2+1)*$N$3,"""")"),"")</f>
        <v/>
      </c>
      <c r="F59" s="8" t="str">
        <f ca="1">IFERROR(_xlfn.RANK.EQ(E59,E:E),"")</f>
        <v/>
      </c>
      <c r="G59" s="8"/>
      <c r="H59" s="9" t="str">
        <f ca="1">IFERROR(__xludf.dummyfunction("iferror(1000+INT(($N$4-(index(split(G59,"":""),1)*60+index(split(G59,"":""),2 )))/0.2+1)*$N$5,"""")"),"")</f>
        <v/>
      </c>
      <c r="I59" s="8" t="str">
        <f ca="1">IFERROR(_xlfn.RANK.EQ(H59,H:H),"")</f>
        <v/>
      </c>
      <c r="J59" s="8" t="str">
        <f>IF(AND(D59="", G59=""), "", E59+H59)</f>
        <v/>
      </c>
      <c r="K59" s="8" t="str">
        <f>IFERROR(_xlfn.RANK.EQ(J59,J:J),"")</f>
        <v/>
      </c>
      <c r="L59" s="8"/>
    </row>
    <row r="60" spans="1:12" ht="14" x14ac:dyDescent="0.3">
      <c r="A60" s="8"/>
      <c r="B60" s="8"/>
      <c r="C60" s="8"/>
      <c r="D60" s="8"/>
      <c r="E60" s="9" t="str">
        <f ca="1">IFERROR(__xludf.dummyfunction("iferror(1000+INT(($N$2-(index(split(D60,"":""),1)*60+index(split(D60,"":""),2 )))/0.2+1)*$N$3,"""")"),"")</f>
        <v/>
      </c>
      <c r="F60" s="8" t="str">
        <f ca="1">IFERROR(_xlfn.RANK.EQ(E60,E:E),"")</f>
        <v/>
      </c>
      <c r="G60" s="8"/>
      <c r="H60" s="9" t="str">
        <f ca="1">IFERROR(__xludf.dummyfunction("iferror(1000+INT(($N$4-(index(split(G60,"":""),1)*60+index(split(G60,"":""),2 )))/0.2+1)*$N$5,"""")"),"")</f>
        <v/>
      </c>
      <c r="I60" s="8" t="str">
        <f ca="1">IFERROR(_xlfn.RANK.EQ(H60,H:H),"")</f>
        <v/>
      </c>
      <c r="J60" s="8" t="str">
        <f>IF(AND(D60="", G60=""), "", E60+H60)</f>
        <v/>
      </c>
      <c r="K60" s="8" t="str">
        <f>IFERROR(_xlfn.RANK.EQ(J60,J:J),"")</f>
        <v/>
      </c>
      <c r="L60" s="8"/>
    </row>
    <row r="61" spans="1:12" ht="14" x14ac:dyDescent="0.3">
      <c r="A61" s="8"/>
      <c r="B61" s="8"/>
      <c r="C61" s="8"/>
      <c r="D61" s="8"/>
      <c r="E61" s="9" t="str">
        <f ca="1">IFERROR(__xludf.dummyfunction("iferror(1000+INT(($N$2-(index(split(D61,"":""),1)*60+index(split(D61,"":""),2 )))/0.2+1)*$N$3,"""")"),"")</f>
        <v/>
      </c>
      <c r="F61" s="8" t="str">
        <f ca="1">IFERROR(_xlfn.RANK.EQ(E61,E:E),"")</f>
        <v/>
      </c>
      <c r="G61" s="8"/>
      <c r="H61" s="9" t="str">
        <f ca="1">IFERROR(__xludf.dummyfunction("iferror(1000+INT(($N$4-(index(split(G61,"":""),1)*60+index(split(G61,"":""),2 )))/0.2+1)*$N$5,"""")"),"")</f>
        <v/>
      </c>
      <c r="I61" s="8" t="str">
        <f ca="1">IFERROR(_xlfn.RANK.EQ(H61,H:H),"")</f>
        <v/>
      </c>
      <c r="J61" s="8" t="str">
        <f>IF(AND(D61="", G61=""), "", E61+H61)</f>
        <v/>
      </c>
      <c r="K61" s="8" t="str">
        <f>IFERROR(_xlfn.RANK.EQ(J61,J:J),"")</f>
        <v/>
      </c>
      <c r="L61" s="8"/>
    </row>
    <row r="62" spans="1:12" ht="14" x14ac:dyDescent="0.3">
      <c r="A62" s="8"/>
      <c r="B62" s="8"/>
      <c r="C62" s="8"/>
      <c r="D62" s="8"/>
      <c r="E62" s="9" t="str">
        <f ca="1">IFERROR(__xludf.dummyfunction("iferror(1000+INT(($N$2-(index(split(D62,"":""),1)*60+index(split(D62,"":""),2 )))/0.2+1)*$N$3,"""")"),"")</f>
        <v/>
      </c>
      <c r="F62" s="8" t="str">
        <f ca="1">IFERROR(_xlfn.RANK.EQ(E62,E:E),"")</f>
        <v/>
      </c>
      <c r="G62" s="8"/>
      <c r="H62" s="9" t="str">
        <f ca="1">IFERROR(__xludf.dummyfunction("iferror(1000+INT(($N$4-(index(split(G62,"":""),1)*60+index(split(G62,"":""),2 )))/0.2+1)*$N$5,"""")"),"")</f>
        <v/>
      </c>
      <c r="I62" s="8" t="str">
        <f ca="1">IFERROR(_xlfn.RANK.EQ(H62,H:H),"")</f>
        <v/>
      </c>
      <c r="J62" s="8" t="str">
        <f>IF(AND(D62="", G62=""), "", E62+H62)</f>
        <v/>
      </c>
      <c r="K62" s="8" t="str">
        <f>IFERROR(_xlfn.RANK.EQ(J62,J:J),"")</f>
        <v/>
      </c>
      <c r="L62" s="8"/>
    </row>
    <row r="63" spans="1:12" ht="14" x14ac:dyDescent="0.3">
      <c r="A63" s="8"/>
      <c r="B63" s="8"/>
      <c r="C63" s="8"/>
      <c r="D63" s="8"/>
      <c r="E63" s="9" t="str">
        <f ca="1">IFERROR(__xludf.dummyfunction("iferror(1000+INT(($N$2-(index(split(D63,"":""),1)*60+index(split(D63,"":""),2 )))/0.2+1)*$N$3,"""")"),"")</f>
        <v/>
      </c>
      <c r="F63" s="8" t="str">
        <f ca="1">IFERROR(_xlfn.RANK.EQ(E63,E:E),"")</f>
        <v/>
      </c>
      <c r="G63" s="8"/>
      <c r="H63" s="9" t="str">
        <f ca="1">IFERROR(__xludf.dummyfunction("iferror(1000+INT(($N$4-(index(split(G63,"":""),1)*60+index(split(G63,"":""),2 )))/0.2+1)*$N$5,"""")"),"")</f>
        <v/>
      </c>
      <c r="I63" s="8" t="str">
        <f ca="1">IFERROR(_xlfn.RANK.EQ(H63,H:H),"")</f>
        <v/>
      </c>
      <c r="J63" s="8" t="str">
        <f>IF(AND(D63="", G63=""), "", E63+H63)</f>
        <v/>
      </c>
      <c r="K63" s="8" t="str">
        <f>IFERROR(_xlfn.RANK.EQ(J63,J:J),"")</f>
        <v/>
      </c>
      <c r="L63" s="8"/>
    </row>
    <row r="64" spans="1:12" ht="14" x14ac:dyDescent="0.3">
      <c r="A64" s="8"/>
      <c r="B64" s="8"/>
      <c r="C64" s="8"/>
      <c r="D64" s="8"/>
      <c r="E64" s="9" t="str">
        <f ca="1">IFERROR(__xludf.dummyfunction("iferror(1000+INT(($N$2-(index(split(D64,"":""),1)*60+index(split(D64,"":""),2 )))/0.2+1)*$N$3,"""")"),"")</f>
        <v/>
      </c>
      <c r="F64" s="8" t="str">
        <f ca="1">IFERROR(_xlfn.RANK.EQ(E64,E:E),"")</f>
        <v/>
      </c>
      <c r="G64" s="8"/>
      <c r="H64" s="9" t="str">
        <f ca="1">IFERROR(__xludf.dummyfunction("iferror(1000+INT(($N$4-(index(split(G64,"":""),1)*60+index(split(G64,"":""),2 )))/0.2+1)*$N$5,"""")"),"")</f>
        <v/>
      </c>
      <c r="I64" s="8" t="str">
        <f ca="1">IFERROR(_xlfn.RANK.EQ(H64,H:H),"")</f>
        <v/>
      </c>
      <c r="J64" s="8" t="str">
        <f>IF(AND(D64="", G64=""), "", E64+H64)</f>
        <v/>
      </c>
      <c r="K64" s="8" t="str">
        <f>IFERROR(_xlfn.RANK.EQ(J64,J:J),"")</f>
        <v/>
      </c>
      <c r="L64" s="8"/>
    </row>
    <row r="65" spans="1:12" ht="14" x14ac:dyDescent="0.3">
      <c r="A65" s="8"/>
      <c r="B65" s="8"/>
      <c r="C65" s="8"/>
      <c r="D65" s="8"/>
      <c r="E65" s="9" t="str">
        <f ca="1">IFERROR(__xludf.dummyfunction("iferror(1000+INT(($N$2-(index(split(D65,"":""),1)*60+index(split(D65,"":""),2 )))/0.2+1)*$N$3,"""")"),"")</f>
        <v/>
      </c>
      <c r="F65" s="8" t="str">
        <f ca="1">IFERROR(_xlfn.RANK.EQ(E65,E:E),"")</f>
        <v/>
      </c>
      <c r="G65" s="8"/>
      <c r="H65" s="9" t="str">
        <f ca="1">IFERROR(__xludf.dummyfunction("iferror(1000+INT(($N$4-(index(split(G65,"":""),1)*60+index(split(G65,"":""),2 )))/0.2+1)*$N$5,"""")"),"")</f>
        <v/>
      </c>
      <c r="I65" s="8" t="str">
        <f ca="1">IFERROR(_xlfn.RANK.EQ(H65,H:H),"")</f>
        <v/>
      </c>
      <c r="J65" s="8" t="str">
        <f>IF(AND(D65="", G65=""), "", E65+H65)</f>
        <v/>
      </c>
      <c r="K65" s="8" t="str">
        <f>IFERROR(_xlfn.RANK.EQ(J65,J:J),"")</f>
        <v/>
      </c>
      <c r="L65" s="8"/>
    </row>
    <row r="66" spans="1:12" ht="14" x14ac:dyDescent="0.3">
      <c r="A66" s="8"/>
      <c r="B66" s="8"/>
      <c r="C66" s="8"/>
      <c r="D66" s="8"/>
      <c r="E66" s="9" t="str">
        <f ca="1">IFERROR(__xludf.dummyfunction("iferror(1000+INT(($N$2-(index(split(D66,"":""),1)*60+index(split(D66,"":""),2 )))/0.2+1)*$N$3,"""")"),"")</f>
        <v/>
      </c>
      <c r="F66" s="8" t="str">
        <f ca="1">IFERROR(_xlfn.RANK.EQ(E66,E:E),"")</f>
        <v/>
      </c>
      <c r="G66" s="8"/>
      <c r="H66" s="9" t="str">
        <f ca="1">IFERROR(__xludf.dummyfunction("iferror(1000+INT(($N$4-(index(split(G66,"":""),1)*60+index(split(G66,"":""),2 )))/0.2+1)*$N$5,"""")"),"")</f>
        <v/>
      </c>
      <c r="I66" s="8" t="str">
        <f ca="1">IFERROR(_xlfn.RANK.EQ(H66,H:H),"")</f>
        <v/>
      </c>
      <c r="J66" s="8" t="str">
        <f>IF(AND(D66="", G66=""), "", E66+H66)</f>
        <v/>
      </c>
      <c r="K66" s="8" t="str">
        <f>IFERROR(_xlfn.RANK.EQ(J66,J:J),"")</f>
        <v/>
      </c>
      <c r="L66" s="8"/>
    </row>
    <row r="67" spans="1:12" ht="14" x14ac:dyDescent="0.3">
      <c r="A67" s="8"/>
      <c r="B67" s="8"/>
      <c r="C67" s="8"/>
      <c r="D67" s="8"/>
      <c r="E67" s="9" t="str">
        <f ca="1">IFERROR(__xludf.dummyfunction("iferror(1000+INT(($N$2-(index(split(D67,"":""),1)*60+index(split(D67,"":""),2 )))/0.2+1)*$N$3,"""")"),"")</f>
        <v/>
      </c>
      <c r="F67" s="8" t="str">
        <f ca="1">IFERROR(_xlfn.RANK.EQ(E67,E:E),"")</f>
        <v/>
      </c>
      <c r="G67" s="8"/>
      <c r="H67" s="9" t="str">
        <f ca="1">IFERROR(__xludf.dummyfunction("iferror(1000+INT(($N$4-(index(split(G67,"":""),1)*60+index(split(G67,"":""),2 )))/0.2+1)*$N$5,"""")"),"")</f>
        <v/>
      </c>
      <c r="I67" s="8" t="str">
        <f ca="1">IFERROR(_xlfn.RANK.EQ(H67,H:H),"")</f>
        <v/>
      </c>
      <c r="J67" s="8" t="str">
        <f>IF(AND(D67="", G67=""), "", E67+H67)</f>
        <v/>
      </c>
      <c r="K67" s="8" t="str">
        <f>IFERROR(_xlfn.RANK.EQ(J67,J:J),"")</f>
        <v/>
      </c>
      <c r="L67" s="8"/>
    </row>
    <row r="68" spans="1:12" ht="14" x14ac:dyDescent="0.3">
      <c r="A68" s="8"/>
      <c r="B68" s="8"/>
      <c r="C68" s="8"/>
      <c r="D68" s="8"/>
      <c r="E68" s="9" t="str">
        <f ca="1">IFERROR(__xludf.dummyfunction("iferror(1000+INT(($N$2-(index(split(D68,"":""),1)*60+index(split(D68,"":""),2 )))/0.2+1)*$N$3,"""")"),"")</f>
        <v/>
      </c>
      <c r="F68" s="8" t="str">
        <f ca="1">IFERROR(_xlfn.RANK.EQ(E68,E:E),"")</f>
        <v/>
      </c>
      <c r="G68" s="8"/>
      <c r="H68" s="9" t="str">
        <f ca="1">IFERROR(__xludf.dummyfunction("iferror(1000+INT(($N$4-(index(split(G68,"":""),1)*60+index(split(G68,"":""),2 )))/0.2+1)*$N$5,"""")"),"")</f>
        <v/>
      </c>
      <c r="I68" s="8" t="str">
        <f ca="1">IFERROR(_xlfn.RANK.EQ(H68,H:H),"")</f>
        <v/>
      </c>
      <c r="J68" s="8" t="str">
        <f>IF(AND(D68="", G68=""), "", E68+H68)</f>
        <v/>
      </c>
      <c r="K68" s="8" t="str">
        <f>IFERROR(_xlfn.RANK.EQ(J68,J:J),"")</f>
        <v/>
      </c>
      <c r="L68" s="8"/>
    </row>
    <row r="69" spans="1:12" ht="14" x14ac:dyDescent="0.3">
      <c r="A69" s="8"/>
      <c r="B69" s="8"/>
      <c r="C69" s="8"/>
      <c r="D69" s="8"/>
      <c r="E69" s="9" t="str">
        <f ca="1">IFERROR(__xludf.dummyfunction("iferror(1000+INT(($N$2-(index(split(D69,"":""),1)*60+index(split(D69,"":""),2 )))/0.2+1)*$N$3,"""")"),"")</f>
        <v/>
      </c>
      <c r="F69" s="8" t="str">
        <f ca="1">IFERROR(_xlfn.RANK.EQ(E69,E:E),"")</f>
        <v/>
      </c>
      <c r="G69" s="8"/>
      <c r="H69" s="9" t="str">
        <f ca="1">IFERROR(__xludf.dummyfunction("iferror(1000+INT(($N$4-(index(split(G69,"":""),1)*60+index(split(G69,"":""),2 )))/0.2+1)*$N$5,"""")"),"")</f>
        <v/>
      </c>
      <c r="I69" s="8" t="str">
        <f ca="1">IFERROR(_xlfn.RANK.EQ(H69,H:H),"")</f>
        <v/>
      </c>
      <c r="J69" s="8" t="str">
        <f>IF(AND(D69="", G69=""), "", E69+H69)</f>
        <v/>
      </c>
      <c r="K69" s="8" t="str">
        <f>IFERROR(_xlfn.RANK.EQ(J69,J:J),"")</f>
        <v/>
      </c>
      <c r="L69" s="8"/>
    </row>
    <row r="70" spans="1:12" ht="14" x14ac:dyDescent="0.3">
      <c r="A70" s="8"/>
      <c r="B70" s="8"/>
      <c r="C70" s="8"/>
      <c r="D70" s="8"/>
      <c r="E70" s="9" t="str">
        <f ca="1">IFERROR(__xludf.dummyfunction("iferror(1000+INT(($N$2-(index(split(D70,"":""),1)*60+index(split(D70,"":""),2 )))/0.2+1)*$N$3,"""")"),"")</f>
        <v/>
      </c>
      <c r="F70" s="8" t="str">
        <f ca="1">IFERROR(_xlfn.RANK.EQ(E70,E:E),"")</f>
        <v/>
      </c>
      <c r="G70" s="8"/>
      <c r="H70" s="9" t="str">
        <f ca="1">IFERROR(__xludf.dummyfunction("iferror(1000+INT(($N$4-(index(split(G70,"":""),1)*60+index(split(G70,"":""),2 )))/0.2+1)*$N$5,"""")"),"")</f>
        <v/>
      </c>
      <c r="I70" s="8" t="str">
        <f ca="1">IFERROR(_xlfn.RANK.EQ(H70,H:H),"")</f>
        <v/>
      </c>
      <c r="J70" s="8" t="str">
        <f>IF(AND(D70="", G70=""), "", E70+H70)</f>
        <v/>
      </c>
      <c r="K70" s="8" t="str">
        <f>IFERROR(_xlfn.RANK.EQ(J70,J:J),"")</f>
        <v/>
      </c>
      <c r="L70" s="8"/>
    </row>
    <row r="71" spans="1:12" ht="14" x14ac:dyDescent="0.3">
      <c r="A71" s="8"/>
      <c r="B71" s="8"/>
      <c r="C71" s="8"/>
      <c r="D71" s="8"/>
      <c r="E71" s="9" t="str">
        <f ca="1">IFERROR(__xludf.dummyfunction("iferror(1000+INT(($N$2-(index(split(D71,"":""),1)*60+index(split(D71,"":""),2 )))/0.2+1)*$N$3,"""")"),"")</f>
        <v/>
      </c>
      <c r="F71" s="8" t="str">
        <f ca="1">IFERROR(_xlfn.RANK.EQ(E71,E:E),"")</f>
        <v/>
      </c>
      <c r="G71" s="8"/>
      <c r="H71" s="9" t="str">
        <f ca="1">IFERROR(__xludf.dummyfunction("iferror(1000+INT(($N$4-(index(split(G71,"":""),1)*60+index(split(G71,"":""),2 )))/0.2+1)*$N$5,"""")"),"")</f>
        <v/>
      </c>
      <c r="I71" s="8" t="str">
        <f ca="1">IFERROR(_xlfn.RANK.EQ(H71,H:H),"")</f>
        <v/>
      </c>
      <c r="J71" s="8" t="str">
        <f>IF(AND(D71="", G71=""), "", E71+H71)</f>
        <v/>
      </c>
      <c r="K71" s="8" t="str">
        <f>IFERROR(_xlfn.RANK.EQ(J71,J:J),"")</f>
        <v/>
      </c>
      <c r="L71" s="8"/>
    </row>
    <row r="72" spans="1:12" ht="14" x14ac:dyDescent="0.3">
      <c r="A72" s="8"/>
      <c r="B72" s="8"/>
      <c r="C72" s="8"/>
      <c r="D72" s="8"/>
      <c r="E72" s="9" t="str">
        <f ca="1">IFERROR(__xludf.dummyfunction("iferror(1000+INT(($N$2-(index(split(D72,"":""),1)*60+index(split(D72,"":""),2 )))/0.2+1)*$N$3,"""")"),"")</f>
        <v/>
      </c>
      <c r="F72" s="8" t="str">
        <f ca="1">IFERROR(_xlfn.RANK.EQ(E72,E:E),"")</f>
        <v/>
      </c>
      <c r="G72" s="8"/>
      <c r="H72" s="9" t="str">
        <f ca="1">IFERROR(__xludf.dummyfunction("iferror(1000+INT(($N$4-(index(split(G72,"":""),1)*60+index(split(G72,"":""),2 )))/0.2+1)*$N$5,"""")"),"")</f>
        <v/>
      </c>
      <c r="I72" s="8" t="str">
        <f ca="1">IFERROR(_xlfn.RANK.EQ(H72,H:H),"")</f>
        <v/>
      </c>
      <c r="J72" s="8" t="str">
        <f>IF(AND(D72="", G72=""), "", E72+H72)</f>
        <v/>
      </c>
      <c r="K72" s="8" t="str">
        <f>IFERROR(_xlfn.RANK.EQ(J72,J:J),"")</f>
        <v/>
      </c>
      <c r="L72" s="8"/>
    </row>
    <row r="73" spans="1:12" ht="14" x14ac:dyDescent="0.3">
      <c r="A73" s="8"/>
      <c r="B73" s="8"/>
      <c r="C73" s="8"/>
      <c r="D73" s="8"/>
      <c r="E73" s="9" t="str">
        <f ca="1">IFERROR(__xludf.dummyfunction("iferror(1000+INT(($N$2-(index(split(D73,"":""),1)*60+index(split(D73,"":""),2 )))/0.2+1)*$N$3,"""")"),"")</f>
        <v/>
      </c>
      <c r="F73" s="8" t="str">
        <f ca="1">IFERROR(_xlfn.RANK.EQ(E73,E:E),"")</f>
        <v/>
      </c>
      <c r="G73" s="8"/>
      <c r="H73" s="9" t="str">
        <f ca="1">IFERROR(__xludf.dummyfunction("iferror(1000+INT(($N$4-(index(split(G73,"":""),1)*60+index(split(G73,"":""),2 )))/0.2+1)*$N$5,"""")"),"")</f>
        <v/>
      </c>
      <c r="I73" s="8" t="str">
        <f ca="1">IFERROR(_xlfn.RANK.EQ(H73,H:H),"")</f>
        <v/>
      </c>
      <c r="J73" s="8" t="str">
        <f>IF(AND(D73="", G73=""), "", E73+H73)</f>
        <v/>
      </c>
      <c r="K73" s="8" t="str">
        <f>IFERROR(_xlfn.RANK.EQ(J73,J:J),"")</f>
        <v/>
      </c>
      <c r="L73" s="8"/>
    </row>
    <row r="74" spans="1:12" ht="14" x14ac:dyDescent="0.3">
      <c r="A74" s="8"/>
      <c r="B74" s="8"/>
      <c r="C74" s="8"/>
      <c r="D74" s="8"/>
      <c r="E74" s="9" t="str">
        <f ca="1">IFERROR(__xludf.dummyfunction("iferror(1000+INT(($N$2-(index(split(D74,"":""),1)*60+index(split(D74,"":""),2 )))/0.2+1)*$N$3,"""")"),"")</f>
        <v/>
      </c>
      <c r="F74" s="8" t="str">
        <f ca="1">IFERROR(_xlfn.RANK.EQ(E74,E:E),"")</f>
        <v/>
      </c>
      <c r="G74" s="8"/>
      <c r="H74" s="9" t="str">
        <f ca="1">IFERROR(__xludf.dummyfunction("iferror(1000+INT(($N$4-(index(split(G74,"":""),1)*60+index(split(G74,"":""),2 )))/0.2+1)*$N$5,"""")"),"")</f>
        <v/>
      </c>
      <c r="I74" s="8" t="str">
        <f ca="1">IFERROR(_xlfn.RANK.EQ(H74,H:H),"")</f>
        <v/>
      </c>
      <c r="J74" s="8" t="str">
        <f>IF(AND(D74="", G74=""), "", E74+H74)</f>
        <v/>
      </c>
      <c r="K74" s="8" t="str">
        <f>IFERROR(_xlfn.RANK.EQ(J74,J:J),"")</f>
        <v/>
      </c>
      <c r="L74" s="8"/>
    </row>
    <row r="75" spans="1:12" ht="14" x14ac:dyDescent="0.3">
      <c r="A75" s="8"/>
      <c r="B75" s="8"/>
      <c r="C75" s="8"/>
      <c r="D75" s="8"/>
      <c r="E75" s="9" t="str">
        <f ca="1">IFERROR(__xludf.dummyfunction("iferror(1000+INT(($N$2-(index(split(D75,"":""),1)*60+index(split(D75,"":""),2 )))/0.2+1)*$N$3,"""")"),"")</f>
        <v/>
      </c>
      <c r="F75" s="8" t="str">
        <f ca="1">IFERROR(_xlfn.RANK.EQ(E75,E:E),"")</f>
        <v/>
      </c>
      <c r="G75" s="8"/>
      <c r="H75" s="9" t="str">
        <f ca="1">IFERROR(__xludf.dummyfunction("iferror(1000+INT(($N$4-(index(split(G75,"":""),1)*60+index(split(G75,"":""),2 )))/0.2+1)*$N$5,"""")"),"")</f>
        <v/>
      </c>
      <c r="I75" s="8" t="str">
        <f ca="1">IFERROR(_xlfn.RANK.EQ(H75,H:H),"")</f>
        <v/>
      </c>
      <c r="J75" s="8" t="str">
        <f>IF(AND(D75="", G75=""), "", E75+H75)</f>
        <v/>
      </c>
      <c r="K75" s="8" t="str">
        <f>IFERROR(_xlfn.RANK.EQ(J75,J:J),"")</f>
        <v/>
      </c>
      <c r="L75" s="8"/>
    </row>
    <row r="76" spans="1:12" ht="14" x14ac:dyDescent="0.3">
      <c r="A76" s="8"/>
      <c r="B76" s="8"/>
      <c r="C76" s="8"/>
      <c r="D76" s="8"/>
      <c r="E76" s="9" t="str">
        <f ca="1">IFERROR(__xludf.dummyfunction("iferror(1000+INT(($N$2-(index(split(D76,"":""),1)*60+index(split(D76,"":""),2 )))/0.2+1)*$N$3,"""")"),"")</f>
        <v/>
      </c>
      <c r="F76" s="8" t="str">
        <f ca="1">IFERROR(_xlfn.RANK.EQ(E76,E:E),"")</f>
        <v/>
      </c>
      <c r="G76" s="8"/>
      <c r="H76" s="9" t="str">
        <f ca="1">IFERROR(__xludf.dummyfunction("iferror(1000+INT(($N$4-(index(split(G76,"":""),1)*60+index(split(G76,"":""),2 )))/0.2+1)*$N$5,"""")"),"")</f>
        <v/>
      </c>
      <c r="I76" s="8" t="str">
        <f ca="1">IFERROR(_xlfn.RANK.EQ(H76,H:H),"")</f>
        <v/>
      </c>
      <c r="J76" s="8" t="str">
        <f>IF(AND(D76="", G76=""), "", E76+H76)</f>
        <v/>
      </c>
      <c r="K76" s="8" t="str">
        <f>IFERROR(_xlfn.RANK.EQ(J76,J:J),"")</f>
        <v/>
      </c>
      <c r="L76" s="8"/>
    </row>
    <row r="77" spans="1:12" ht="14" x14ac:dyDescent="0.3">
      <c r="A77" s="8"/>
      <c r="B77" s="8"/>
      <c r="C77" s="8"/>
      <c r="D77" s="8"/>
      <c r="E77" s="9" t="str">
        <f ca="1">IFERROR(__xludf.dummyfunction("iferror(1000+INT(($N$2-(index(split(D77,"":""),1)*60+index(split(D77,"":""),2 )))/0.2+1)*$N$3,"""")"),"")</f>
        <v/>
      </c>
      <c r="F77" s="8" t="str">
        <f ca="1">IFERROR(_xlfn.RANK.EQ(E77,E:E),"")</f>
        <v/>
      </c>
      <c r="G77" s="8"/>
      <c r="H77" s="9" t="str">
        <f ca="1">IFERROR(__xludf.dummyfunction("iferror(1000+INT(($N$4-(index(split(G77,"":""),1)*60+index(split(G77,"":""),2 )))/0.2+1)*$N$5,"""")"),"")</f>
        <v/>
      </c>
      <c r="I77" s="8" t="str">
        <f ca="1">IFERROR(_xlfn.RANK.EQ(H77,H:H),"")</f>
        <v/>
      </c>
      <c r="J77" s="8" t="str">
        <f>IF(AND(D77="", G77=""), "", E77+H77)</f>
        <v/>
      </c>
      <c r="K77" s="8" t="str">
        <f>IFERROR(_xlfn.RANK.EQ(J77,J:J),"")</f>
        <v/>
      </c>
      <c r="L77" s="8"/>
    </row>
    <row r="78" spans="1:12" ht="14" x14ac:dyDescent="0.3">
      <c r="A78" s="8"/>
      <c r="B78" s="8"/>
      <c r="C78" s="8"/>
      <c r="D78" s="8"/>
      <c r="E78" s="9" t="str">
        <f ca="1">IFERROR(__xludf.dummyfunction("iferror(1000+INT(($N$2-(index(split(D78,"":""),1)*60+index(split(D78,"":""),2 )))/0.2+1)*$N$3,"""")"),"")</f>
        <v/>
      </c>
      <c r="F78" s="8" t="str">
        <f ca="1">IFERROR(_xlfn.RANK.EQ(E78,E:E),"")</f>
        <v/>
      </c>
      <c r="G78" s="8"/>
      <c r="H78" s="9" t="str">
        <f ca="1">IFERROR(__xludf.dummyfunction("iferror(1000+INT(($N$4-(index(split(G78,"":""),1)*60+index(split(G78,"":""),2 )))/0.2+1)*$N$5,"""")"),"")</f>
        <v/>
      </c>
      <c r="I78" s="8" t="str">
        <f ca="1">IFERROR(_xlfn.RANK.EQ(H78,H:H),"")</f>
        <v/>
      </c>
      <c r="J78" s="8" t="str">
        <f>IF(AND(D78="", G78=""), "", E78+H78)</f>
        <v/>
      </c>
      <c r="K78" s="8" t="str">
        <f>IFERROR(_xlfn.RANK.EQ(J78,J:J),"")</f>
        <v/>
      </c>
      <c r="L78" s="8"/>
    </row>
    <row r="79" spans="1:12" ht="14" x14ac:dyDescent="0.3">
      <c r="A79" s="8"/>
      <c r="B79" s="8"/>
      <c r="C79" s="8"/>
      <c r="D79" s="8"/>
      <c r="E79" s="9" t="str">
        <f ca="1">IFERROR(__xludf.dummyfunction("iferror(1000+INT(($N$2-(index(split(D79,"":""),1)*60+index(split(D79,"":""),2 )))/0.2+1)*$N$3,"""")"),"")</f>
        <v/>
      </c>
      <c r="F79" s="8" t="str">
        <f ca="1">IFERROR(_xlfn.RANK.EQ(E79,E:E),"")</f>
        <v/>
      </c>
      <c r="G79" s="8"/>
      <c r="H79" s="9" t="str">
        <f ca="1">IFERROR(__xludf.dummyfunction("iferror(1000+INT(($N$4-(index(split(G79,"":""),1)*60+index(split(G79,"":""),2 )))/0.2+1)*$N$5,"""")"),"")</f>
        <v/>
      </c>
      <c r="I79" s="8" t="str">
        <f ca="1">IFERROR(_xlfn.RANK.EQ(H79,H:H),"")</f>
        <v/>
      </c>
      <c r="J79" s="8" t="str">
        <f>IF(AND(D79="", G79=""), "", E79+H79)</f>
        <v/>
      </c>
      <c r="K79" s="8" t="str">
        <f>IFERROR(_xlfn.RANK.EQ(J79,J:J),"")</f>
        <v/>
      </c>
      <c r="L79" s="8"/>
    </row>
    <row r="80" spans="1:12" ht="14" x14ac:dyDescent="0.3">
      <c r="A80" s="8"/>
      <c r="B80" s="8"/>
      <c r="C80" s="8"/>
      <c r="D80" s="8"/>
      <c r="E80" s="9" t="str">
        <f ca="1">IFERROR(__xludf.dummyfunction("iferror(1000+INT(($N$2-(index(split(D80,"":""),1)*60+index(split(D80,"":""),2 )))/0.2+1)*$N$3,"""")"),"")</f>
        <v/>
      </c>
      <c r="F80" s="8" t="str">
        <f ca="1">IFERROR(_xlfn.RANK.EQ(E80,E:E),"")</f>
        <v/>
      </c>
      <c r="G80" s="8"/>
      <c r="H80" s="9" t="str">
        <f ca="1">IFERROR(__xludf.dummyfunction("iferror(1000+INT(($N$4-(index(split(G80,"":""),1)*60+index(split(G80,"":""),2 )))/0.2+1)*$N$5,"""")"),"")</f>
        <v/>
      </c>
      <c r="I80" s="8" t="str">
        <f ca="1">IFERROR(_xlfn.RANK.EQ(H80,H:H),"")</f>
        <v/>
      </c>
      <c r="J80" s="8" t="str">
        <f>IF(AND(D80="", G80=""), "", E80+H80)</f>
        <v/>
      </c>
      <c r="K80" s="8" t="str">
        <f>IFERROR(_xlfn.RANK.EQ(J80,J:J),"")</f>
        <v/>
      </c>
      <c r="L80" s="8"/>
    </row>
    <row r="81" spans="1:12" ht="14" x14ac:dyDescent="0.3">
      <c r="A81" s="8"/>
      <c r="B81" s="8"/>
      <c r="C81" s="8"/>
      <c r="D81" s="8"/>
      <c r="E81" s="9" t="str">
        <f ca="1">IFERROR(__xludf.dummyfunction("iferror(1000+INT(($N$2-(index(split(D81,"":""),1)*60+index(split(D81,"":""),2 )))/0.2+1)*$N$3,"""")"),"")</f>
        <v/>
      </c>
      <c r="F81" s="8" t="str">
        <f ca="1">IFERROR(_xlfn.RANK.EQ(E81,E:E),"")</f>
        <v/>
      </c>
      <c r="G81" s="8"/>
      <c r="H81" s="9" t="str">
        <f ca="1">IFERROR(__xludf.dummyfunction("iferror(1000+INT(($N$4-(index(split(G81,"":""),1)*60+index(split(G81,"":""),2 )))/0.2+1)*$N$5,"""")"),"")</f>
        <v/>
      </c>
      <c r="I81" s="8" t="str">
        <f ca="1">IFERROR(_xlfn.RANK.EQ(H81,H:H),"")</f>
        <v/>
      </c>
      <c r="J81" s="8" t="str">
        <f>IF(AND(D81="", G81=""), "", E81+H81)</f>
        <v/>
      </c>
      <c r="K81" s="8" t="str">
        <f>IFERROR(_xlfn.RANK.EQ(J81,J:J),"")</f>
        <v/>
      </c>
      <c r="L81" s="8"/>
    </row>
    <row r="82" spans="1:12" ht="14" x14ac:dyDescent="0.3">
      <c r="A82" s="8"/>
      <c r="B82" s="8"/>
      <c r="C82" s="8"/>
      <c r="D82" s="8"/>
      <c r="E82" s="9" t="str">
        <f ca="1">IFERROR(__xludf.dummyfunction("iferror(1000+INT(($N$2-(index(split(D82,"":""),1)*60+index(split(D82,"":""),2 )))/0.2+1)*$N$3,"""")"),"")</f>
        <v/>
      </c>
      <c r="F82" s="8" t="str">
        <f ca="1">IFERROR(_xlfn.RANK.EQ(E82,E:E),"")</f>
        <v/>
      </c>
      <c r="G82" s="8"/>
      <c r="H82" s="9" t="str">
        <f ca="1">IFERROR(__xludf.dummyfunction("iferror(1000+INT(($N$4-(index(split(G82,"":""),1)*60+index(split(G82,"":""),2 )))/0.2+1)*$N$5,"""")"),"")</f>
        <v/>
      </c>
      <c r="I82" s="8" t="str">
        <f ca="1">IFERROR(_xlfn.RANK.EQ(H82,H:H),"")</f>
        <v/>
      </c>
      <c r="J82" s="8" t="str">
        <f>IF(AND(D82="", G82=""), "", E82+H82)</f>
        <v/>
      </c>
      <c r="K82" s="8" t="str">
        <f>IFERROR(_xlfn.RANK.EQ(J82,J:J),"")</f>
        <v/>
      </c>
      <c r="L82" s="8"/>
    </row>
    <row r="83" spans="1:12" ht="14" x14ac:dyDescent="0.3">
      <c r="A83" s="8"/>
      <c r="B83" s="8"/>
      <c r="C83" s="8"/>
      <c r="D83" s="8"/>
      <c r="E83" s="9" t="str">
        <f ca="1">IFERROR(__xludf.dummyfunction("iferror(1000+INT(($N$2-(index(split(D83,"":""),1)*60+index(split(D83,"":""),2 )))/0.2+1)*$N$3,"""")"),"")</f>
        <v/>
      </c>
      <c r="F83" s="8" t="str">
        <f ca="1">IFERROR(_xlfn.RANK.EQ(E83,E:E),"")</f>
        <v/>
      </c>
      <c r="G83" s="8"/>
      <c r="H83" s="9" t="str">
        <f ca="1">IFERROR(__xludf.dummyfunction("iferror(1000+INT(($N$4-(index(split(G83,"":""),1)*60+index(split(G83,"":""),2 )))/0.2+1)*$N$5,"""")"),"")</f>
        <v/>
      </c>
      <c r="I83" s="8" t="str">
        <f ca="1">IFERROR(_xlfn.RANK.EQ(H83,H:H),"")</f>
        <v/>
      </c>
      <c r="J83" s="8" t="str">
        <f>IF(AND(D83="", G83=""), "", E83+H83)</f>
        <v/>
      </c>
      <c r="K83" s="8" t="str">
        <f>IFERROR(_xlfn.RANK.EQ(J83,J:J),"")</f>
        <v/>
      </c>
      <c r="L83" s="8"/>
    </row>
    <row r="84" spans="1:12" ht="14" x14ac:dyDescent="0.3">
      <c r="A84" s="8"/>
      <c r="B84" s="8"/>
      <c r="C84" s="8"/>
      <c r="D84" s="8"/>
      <c r="E84" s="9" t="str">
        <f ca="1">IFERROR(__xludf.dummyfunction("iferror(1000+INT(($N$2-(index(split(D84,"":""),1)*60+index(split(D84,"":""),2 )))/0.2+1)*$N$3,"""")"),"")</f>
        <v/>
      </c>
      <c r="F84" s="8" t="str">
        <f ca="1">IFERROR(_xlfn.RANK.EQ(E84,E:E),"")</f>
        <v/>
      </c>
      <c r="G84" s="8"/>
      <c r="H84" s="9" t="str">
        <f ca="1">IFERROR(__xludf.dummyfunction("iferror(1000+INT(($N$4-(index(split(G84,"":""),1)*60+index(split(G84,"":""),2 )))/0.2+1)*$N$5,"""")"),"")</f>
        <v/>
      </c>
      <c r="I84" s="8" t="str">
        <f ca="1">IFERROR(_xlfn.RANK.EQ(H84,H:H),"")</f>
        <v/>
      </c>
      <c r="J84" s="8" t="str">
        <f>IF(AND(D84="", G84=""), "", E84+H84)</f>
        <v/>
      </c>
      <c r="K84" s="8" t="str">
        <f>IFERROR(_xlfn.RANK.EQ(J84,J:J),"")</f>
        <v/>
      </c>
      <c r="L84" s="8"/>
    </row>
    <row r="85" spans="1:12" ht="14" x14ac:dyDescent="0.3">
      <c r="A85" s="8"/>
      <c r="B85" s="8"/>
      <c r="C85" s="8"/>
      <c r="D85" s="8"/>
      <c r="E85" s="9" t="str">
        <f ca="1">IFERROR(__xludf.dummyfunction("iferror(1000+INT(($N$2-(index(split(D85,"":""),1)*60+index(split(D85,"":""),2 )))/0.2+1)*$N$3,"""")"),"")</f>
        <v/>
      </c>
      <c r="F85" s="8" t="str">
        <f ca="1">IFERROR(_xlfn.RANK.EQ(E85,E:E),"")</f>
        <v/>
      </c>
      <c r="G85" s="8"/>
      <c r="H85" s="9" t="str">
        <f ca="1">IFERROR(__xludf.dummyfunction("iferror(1000+INT(($N$4-(index(split(G85,"":""),1)*60+index(split(G85,"":""),2 )))/0.2+1)*$N$5,"""")"),"")</f>
        <v/>
      </c>
      <c r="I85" s="8" t="str">
        <f ca="1">IFERROR(_xlfn.RANK.EQ(H85,H:H),"")</f>
        <v/>
      </c>
      <c r="J85" s="8" t="str">
        <f>IF(AND(D85="", G85=""), "", E85+H85)</f>
        <v/>
      </c>
      <c r="K85" s="8" t="str">
        <f>IFERROR(_xlfn.RANK.EQ(J85,J:J),"")</f>
        <v/>
      </c>
      <c r="L85" s="8"/>
    </row>
    <row r="86" spans="1:12" ht="14" x14ac:dyDescent="0.3">
      <c r="A86" s="8"/>
      <c r="B86" s="8"/>
      <c r="C86" s="8"/>
      <c r="D86" s="8"/>
      <c r="E86" s="9" t="str">
        <f ca="1">IFERROR(__xludf.dummyfunction("iferror(1000+INT(($N$2-(index(split(D86,"":""),1)*60+index(split(D86,"":""),2 )))/0.2+1)*$N$3,"""")"),"")</f>
        <v/>
      </c>
      <c r="F86" s="8" t="str">
        <f ca="1">IFERROR(_xlfn.RANK.EQ(E86,E:E),"")</f>
        <v/>
      </c>
      <c r="G86" s="8"/>
      <c r="H86" s="9" t="str">
        <f ca="1">IFERROR(__xludf.dummyfunction("iferror(1000+INT(($N$4-(index(split(G86,"":""),1)*60+index(split(G86,"":""),2 )))/0.2+1)*$N$5,"""")"),"")</f>
        <v/>
      </c>
      <c r="I86" s="8" t="str">
        <f ca="1">IFERROR(_xlfn.RANK.EQ(H86,H:H),"")</f>
        <v/>
      </c>
      <c r="J86" s="8" t="str">
        <f>IF(AND(D86="", G86=""), "", E86+H86)</f>
        <v/>
      </c>
      <c r="K86" s="8" t="str">
        <f>IFERROR(_xlfn.RANK.EQ(J86,J:J),"")</f>
        <v/>
      </c>
      <c r="L86" s="8"/>
    </row>
    <row r="87" spans="1:12" ht="14" x14ac:dyDescent="0.3">
      <c r="A87" s="8"/>
      <c r="B87" s="8"/>
      <c r="C87" s="8"/>
      <c r="D87" s="8"/>
      <c r="E87" s="9" t="str">
        <f ca="1">IFERROR(__xludf.dummyfunction("iferror(1000+INT(($N$2-(index(split(D87,"":""),1)*60+index(split(D87,"":""),2 )))/0.2+1)*$N$3,"""")"),"")</f>
        <v/>
      </c>
      <c r="F87" s="8" t="str">
        <f ca="1">IFERROR(_xlfn.RANK.EQ(E87,E:E),"")</f>
        <v/>
      </c>
      <c r="G87" s="8"/>
      <c r="H87" s="9" t="str">
        <f ca="1">IFERROR(__xludf.dummyfunction("iferror(1000+INT(($N$4-(index(split(G87,"":""),1)*60+index(split(G87,"":""),2 )))/0.2+1)*$N$5,"""")"),"")</f>
        <v/>
      </c>
      <c r="I87" s="8" t="str">
        <f ca="1">IFERROR(_xlfn.RANK.EQ(H87,H:H),"")</f>
        <v/>
      </c>
      <c r="J87" s="8" t="str">
        <f>IF(AND(D87="", G87=""), "", E87+H87)</f>
        <v/>
      </c>
      <c r="K87" s="8" t="str">
        <f>IFERROR(_xlfn.RANK.EQ(J87,J:J),"")</f>
        <v/>
      </c>
      <c r="L87" s="8"/>
    </row>
    <row r="88" spans="1:12" ht="14" x14ac:dyDescent="0.3">
      <c r="A88" s="8"/>
      <c r="B88" s="8"/>
      <c r="C88" s="8"/>
      <c r="D88" s="8"/>
      <c r="E88" s="9" t="str">
        <f ca="1">IFERROR(__xludf.dummyfunction("iferror(1000+INT(($N$2-(index(split(D88,"":""),1)*60+index(split(D88,"":""),2 )))/0.2+1)*$N$3,"""")"),"")</f>
        <v/>
      </c>
      <c r="F88" s="8" t="str">
        <f ca="1">IFERROR(_xlfn.RANK.EQ(E88,E:E),"")</f>
        <v/>
      </c>
      <c r="G88" s="8"/>
      <c r="H88" s="9" t="str">
        <f ca="1">IFERROR(__xludf.dummyfunction("iferror(1000+INT(($N$4-(index(split(G88,"":""),1)*60+index(split(G88,"":""),2 )))/0.2+1)*$N$5,"""")"),"")</f>
        <v/>
      </c>
      <c r="I88" s="8" t="str">
        <f ca="1">IFERROR(_xlfn.RANK.EQ(H88,H:H),"")</f>
        <v/>
      </c>
      <c r="J88" s="8" t="str">
        <f>IF(AND(D88="", G88=""), "", E88+H88)</f>
        <v/>
      </c>
      <c r="K88" s="8" t="str">
        <f>IFERROR(_xlfn.RANK.EQ(J88,J:J),"")</f>
        <v/>
      </c>
      <c r="L88" s="8"/>
    </row>
    <row r="89" spans="1:12" ht="14" x14ac:dyDescent="0.3">
      <c r="A89" s="8"/>
      <c r="B89" s="8"/>
      <c r="C89" s="8"/>
      <c r="D89" s="8"/>
      <c r="E89" s="9" t="str">
        <f ca="1">IFERROR(__xludf.dummyfunction("iferror(1000+INT(($N$2-(index(split(D89,"":""),1)*60+index(split(D89,"":""),2 )))/0.2+1)*$N$3,"""")"),"")</f>
        <v/>
      </c>
      <c r="F89" s="8" t="str">
        <f ca="1">IFERROR(_xlfn.RANK.EQ(E89,E:E),"")</f>
        <v/>
      </c>
      <c r="G89" s="8"/>
      <c r="H89" s="9" t="str">
        <f ca="1">IFERROR(__xludf.dummyfunction("iferror(1000+INT(($N$4-(index(split(G89,"":""),1)*60+index(split(G89,"":""),2 )))/0.2+1)*$N$5,"""")"),"")</f>
        <v/>
      </c>
      <c r="I89" s="8" t="str">
        <f ca="1">IFERROR(_xlfn.RANK.EQ(H89,H:H),"")</f>
        <v/>
      </c>
      <c r="J89" s="8" t="str">
        <f>IF(AND(D89="", G89=""), "", E89+H89)</f>
        <v/>
      </c>
      <c r="K89" s="8" t="str">
        <f>IFERROR(_xlfn.RANK.EQ(J89,J:J),"")</f>
        <v/>
      </c>
      <c r="L89" s="8"/>
    </row>
    <row r="90" spans="1:12" ht="14" x14ac:dyDescent="0.3">
      <c r="A90" s="8"/>
      <c r="B90" s="8"/>
      <c r="C90" s="8"/>
      <c r="D90" s="8"/>
      <c r="E90" s="9" t="str">
        <f ca="1">IFERROR(__xludf.dummyfunction("iferror(1000+INT(($N$2-(index(split(D90,"":""),1)*60+index(split(D90,"":""),2 )))/0.2+1)*$N$3,"""")"),"")</f>
        <v/>
      </c>
      <c r="F90" s="8" t="str">
        <f ca="1">IFERROR(_xlfn.RANK.EQ(E90,E:E),"")</f>
        <v/>
      </c>
      <c r="G90" s="8"/>
      <c r="H90" s="9" t="str">
        <f ca="1">IFERROR(__xludf.dummyfunction("iferror(1000+INT(($N$4-(index(split(G90,"":""),1)*60+index(split(G90,"":""),2 )))/0.2+1)*$N$5,"""")"),"")</f>
        <v/>
      </c>
      <c r="I90" s="8" t="str">
        <f ca="1">IFERROR(_xlfn.RANK.EQ(H90,H:H),"")</f>
        <v/>
      </c>
      <c r="J90" s="8" t="str">
        <f>IF(AND(D90="", G90=""), "", E90+H90)</f>
        <v/>
      </c>
      <c r="K90" s="8" t="str">
        <f>IFERROR(_xlfn.RANK.EQ(J90,J:J),"")</f>
        <v/>
      </c>
      <c r="L90" s="8"/>
    </row>
    <row r="91" spans="1:12" ht="14" x14ac:dyDescent="0.3">
      <c r="A91" s="8"/>
      <c r="B91" s="8"/>
      <c r="C91" s="8"/>
      <c r="D91" s="8"/>
      <c r="E91" s="9" t="str">
        <f ca="1">IFERROR(__xludf.dummyfunction("iferror(1000+INT(($N$2-(index(split(D91,"":""),1)*60+index(split(D91,"":""),2 )))/0.2+1)*$N$3,"""")"),"")</f>
        <v/>
      </c>
      <c r="F91" s="8" t="str">
        <f ca="1">IFERROR(_xlfn.RANK.EQ(E91,E:E),"")</f>
        <v/>
      </c>
      <c r="G91" s="8"/>
      <c r="H91" s="9" t="str">
        <f ca="1">IFERROR(__xludf.dummyfunction("iferror(1000+INT(($N$4-(index(split(G91,"":""),1)*60+index(split(G91,"":""),2 )))/0.2+1)*$N$5,"""")"),"")</f>
        <v/>
      </c>
      <c r="I91" s="8" t="str">
        <f ca="1">IFERROR(_xlfn.RANK.EQ(H91,H:H),"")</f>
        <v/>
      </c>
      <c r="J91" s="8" t="str">
        <f>IF(AND(D91="", G91=""), "", E91+H91)</f>
        <v/>
      </c>
      <c r="K91" s="8" t="str">
        <f>IFERROR(_xlfn.RANK.EQ(J91,J:J),"")</f>
        <v/>
      </c>
      <c r="L91" s="8"/>
    </row>
    <row r="92" spans="1:12" ht="14" x14ac:dyDescent="0.3">
      <c r="A92" s="8"/>
      <c r="B92" s="8"/>
      <c r="C92" s="8"/>
      <c r="D92" s="8"/>
      <c r="E92" s="9" t="str">
        <f ca="1">IFERROR(__xludf.dummyfunction("iferror(1000+INT(($N$2-(index(split(D92,"":""),1)*60+index(split(D92,"":""),2 )))/0.2+1)*$N$3,"""")"),"")</f>
        <v/>
      </c>
      <c r="F92" s="8" t="str">
        <f ca="1">IFERROR(_xlfn.RANK.EQ(E92,E:E),"")</f>
        <v/>
      </c>
      <c r="G92" s="8"/>
      <c r="H92" s="9" t="str">
        <f ca="1">IFERROR(__xludf.dummyfunction("iferror(1000+INT(($N$4-(index(split(G92,"":""),1)*60+index(split(G92,"":""),2 )))/0.2+1)*$N$5,"""")"),"")</f>
        <v/>
      </c>
      <c r="I92" s="8" t="str">
        <f ca="1">IFERROR(_xlfn.RANK.EQ(H92,H:H),"")</f>
        <v/>
      </c>
      <c r="J92" s="8" t="str">
        <f>IF(AND(D92="", G92=""), "", E92+H92)</f>
        <v/>
      </c>
      <c r="K92" s="8" t="str">
        <f>IFERROR(_xlfn.RANK.EQ(J92,J:J),"")</f>
        <v/>
      </c>
      <c r="L92" s="8"/>
    </row>
    <row r="93" spans="1:12" ht="14" x14ac:dyDescent="0.3">
      <c r="A93" s="8"/>
      <c r="B93" s="8"/>
      <c r="C93" s="8"/>
      <c r="D93" s="8"/>
      <c r="E93" s="9" t="str">
        <f ca="1">IFERROR(__xludf.dummyfunction("iferror(1000+INT(($N$2-(index(split(D93,"":""),1)*60+index(split(D93,"":""),2 )))/0.2+1)*$N$3,"""")"),"")</f>
        <v/>
      </c>
      <c r="F93" s="8" t="str">
        <f ca="1">IFERROR(_xlfn.RANK.EQ(E93,E:E),"")</f>
        <v/>
      </c>
      <c r="G93" s="8"/>
      <c r="H93" s="9" t="str">
        <f ca="1">IFERROR(__xludf.dummyfunction("iferror(1000+INT(($N$4-(index(split(G93,"":""),1)*60+index(split(G93,"":""),2 )))/0.2+1)*$N$5,"""")"),"")</f>
        <v/>
      </c>
      <c r="I93" s="8" t="str">
        <f ca="1">IFERROR(_xlfn.RANK.EQ(H93,H:H),"")</f>
        <v/>
      </c>
      <c r="J93" s="8" t="str">
        <f>IF(AND(D93="", G93=""), "", E93+H93)</f>
        <v/>
      </c>
      <c r="K93" s="8" t="str">
        <f>IFERROR(_xlfn.RANK.EQ(J93,J:J),"")</f>
        <v/>
      </c>
      <c r="L93" s="8"/>
    </row>
    <row r="94" spans="1:12" ht="14" x14ac:dyDescent="0.3">
      <c r="A94" s="8"/>
      <c r="B94" s="8"/>
      <c r="C94" s="8"/>
      <c r="D94" s="8"/>
      <c r="E94" s="9" t="str">
        <f ca="1">IFERROR(__xludf.dummyfunction("iferror(1000+INT(($N$2-(index(split(D94,"":""),1)*60+index(split(D94,"":""),2 )))/0.2+1)*$N$3,"""")"),"")</f>
        <v/>
      </c>
      <c r="F94" s="8" t="str">
        <f ca="1">IFERROR(_xlfn.RANK.EQ(E94,E:E),"")</f>
        <v/>
      </c>
      <c r="G94" s="8"/>
      <c r="H94" s="9" t="str">
        <f ca="1">IFERROR(__xludf.dummyfunction("iferror(1000+INT(($N$4-(index(split(G94,"":""),1)*60+index(split(G94,"":""),2 )))/0.2+1)*$N$5,"""")"),"")</f>
        <v/>
      </c>
      <c r="I94" s="8" t="str">
        <f ca="1">IFERROR(_xlfn.RANK.EQ(H94,H:H),"")</f>
        <v/>
      </c>
      <c r="J94" s="8" t="str">
        <f>IF(AND(D94="", G94=""), "", E94+H94)</f>
        <v/>
      </c>
      <c r="K94" s="8" t="str">
        <f>IFERROR(_xlfn.RANK.EQ(J94,J:J),"")</f>
        <v/>
      </c>
      <c r="L94" s="8"/>
    </row>
    <row r="95" spans="1:12" ht="14" x14ac:dyDescent="0.3">
      <c r="A95" s="8"/>
      <c r="B95" s="8"/>
      <c r="C95" s="8"/>
      <c r="D95" s="8"/>
      <c r="E95" s="9" t="str">
        <f ca="1">IFERROR(__xludf.dummyfunction("iferror(1000+INT(($N$2-(index(split(D95,"":""),1)*60+index(split(D95,"":""),2 )))/0.2+1)*$N$3,"""")"),"")</f>
        <v/>
      </c>
      <c r="F95" s="8" t="str">
        <f ca="1">IFERROR(_xlfn.RANK.EQ(E95,E:E),"")</f>
        <v/>
      </c>
      <c r="G95" s="8"/>
      <c r="H95" s="9" t="str">
        <f ca="1">IFERROR(__xludf.dummyfunction("iferror(1000+INT(($N$4-(index(split(G95,"":""),1)*60+index(split(G95,"":""),2 )))/0.2+1)*$N$5,"""")"),"")</f>
        <v/>
      </c>
      <c r="I95" s="8" t="str">
        <f ca="1">IFERROR(_xlfn.RANK.EQ(H95,H:H),"")</f>
        <v/>
      </c>
      <c r="J95" s="8" t="str">
        <f>IF(AND(D95="", G95=""), "", E95+H95)</f>
        <v/>
      </c>
      <c r="K95" s="8" t="str">
        <f>IFERROR(_xlfn.RANK.EQ(J95,J:J),"")</f>
        <v/>
      </c>
      <c r="L95" s="8"/>
    </row>
    <row r="96" spans="1:12" ht="14" x14ac:dyDescent="0.3">
      <c r="A96" s="8"/>
      <c r="B96" s="8"/>
      <c r="C96" s="8"/>
      <c r="D96" s="8"/>
      <c r="E96" s="9" t="str">
        <f ca="1">IFERROR(__xludf.dummyfunction("iferror(1000+INT(($N$2-(index(split(D96,"":""),1)*60+index(split(D96,"":""),2 )))/0.2+1)*$N$3,"""")"),"")</f>
        <v/>
      </c>
      <c r="F96" s="8" t="str">
        <f ca="1">IFERROR(_xlfn.RANK.EQ(E96,E:E),"")</f>
        <v/>
      </c>
      <c r="G96" s="8"/>
      <c r="H96" s="9" t="str">
        <f ca="1">IFERROR(__xludf.dummyfunction("iferror(1000+INT(($N$4-(index(split(G96,"":""),1)*60+index(split(G96,"":""),2 )))/0.2+1)*$N$5,"""")"),"")</f>
        <v/>
      </c>
      <c r="I96" s="8" t="str">
        <f ca="1">IFERROR(_xlfn.RANK.EQ(H96,H:H),"")</f>
        <v/>
      </c>
      <c r="J96" s="8" t="str">
        <f>IF(AND(D96="", G96=""), "", E96+H96)</f>
        <v/>
      </c>
      <c r="K96" s="8" t="str">
        <f>IFERROR(_xlfn.RANK.EQ(J96,J:J),"")</f>
        <v/>
      </c>
      <c r="L96" s="8"/>
    </row>
    <row r="97" spans="1:12" ht="14" x14ac:dyDescent="0.3">
      <c r="A97" s="8"/>
      <c r="B97" s="8"/>
      <c r="C97" s="8"/>
      <c r="D97" s="8"/>
      <c r="E97" s="9" t="str">
        <f ca="1">IFERROR(__xludf.dummyfunction("iferror(1000+INT(($N$2-(index(split(D97,"":""),1)*60+index(split(D97,"":""),2 )))/0.2+1)*$N$3,"""")"),"")</f>
        <v/>
      </c>
      <c r="F97" s="8" t="str">
        <f ca="1">IFERROR(_xlfn.RANK.EQ(E97,E:E),"")</f>
        <v/>
      </c>
      <c r="G97" s="8"/>
      <c r="H97" s="9" t="str">
        <f ca="1">IFERROR(__xludf.dummyfunction("iferror(1000+INT(($N$4-(index(split(G97,"":""),1)*60+index(split(G97,"":""),2 )))/0.2+1)*$N$5,"""")"),"")</f>
        <v/>
      </c>
      <c r="I97" s="8" t="str">
        <f ca="1">IFERROR(_xlfn.RANK.EQ(H97,H:H),"")</f>
        <v/>
      </c>
      <c r="J97" s="8" t="str">
        <f>IF(AND(D97="", G97=""), "", E97+H97)</f>
        <v/>
      </c>
      <c r="K97" s="8" t="str">
        <f>IFERROR(_xlfn.RANK.EQ(J97,J:J),"")</f>
        <v/>
      </c>
      <c r="L97" s="8"/>
    </row>
    <row r="98" spans="1:12" ht="14" x14ac:dyDescent="0.3">
      <c r="A98" s="8"/>
      <c r="B98" s="8"/>
      <c r="C98" s="8"/>
      <c r="D98" s="8"/>
      <c r="E98" s="9" t="str">
        <f ca="1">IFERROR(__xludf.dummyfunction("iferror(1000+INT(($N$2-(index(split(D98,"":""),1)*60+index(split(D98,"":""),2 )))/0.2+1)*$N$3,"""")"),"")</f>
        <v/>
      </c>
      <c r="F98" s="8" t="str">
        <f ca="1">IFERROR(_xlfn.RANK.EQ(E98,E:E),"")</f>
        <v/>
      </c>
      <c r="G98" s="8"/>
      <c r="H98" s="9" t="str">
        <f ca="1">IFERROR(__xludf.dummyfunction("iferror(1000+INT(($N$4-(index(split(G98,"":""),1)*60+index(split(G98,"":""),2 )))/0.2+1)*$N$5,"""")"),"")</f>
        <v/>
      </c>
      <c r="I98" s="8" t="str">
        <f ca="1">IFERROR(_xlfn.RANK.EQ(H98,H:H),"")</f>
        <v/>
      </c>
      <c r="J98" s="8" t="str">
        <f>IF(AND(D98="", G98=""), "", E98+H98)</f>
        <v/>
      </c>
      <c r="K98" s="8" t="str">
        <f>IFERROR(_xlfn.RANK.EQ(J98,J:J),"")</f>
        <v/>
      </c>
      <c r="L98" s="8"/>
    </row>
    <row r="99" spans="1:12" ht="14" x14ac:dyDescent="0.3">
      <c r="A99" s="8"/>
      <c r="B99" s="8"/>
      <c r="C99" s="8"/>
      <c r="D99" s="8"/>
      <c r="E99" s="9" t="str">
        <f ca="1">IFERROR(__xludf.dummyfunction("iferror(1000+INT(($N$2-(index(split(D99,"":""),1)*60+index(split(D99,"":""),2 )))/0.2+1)*$N$3,"""")"),"")</f>
        <v/>
      </c>
      <c r="F99" s="8" t="str">
        <f ca="1">IFERROR(_xlfn.RANK.EQ(E99,E:E),"")</f>
        <v/>
      </c>
      <c r="G99" s="8"/>
      <c r="H99" s="9" t="str">
        <f ca="1">IFERROR(__xludf.dummyfunction("iferror(1000+INT(($N$4-(index(split(G99,"":""),1)*60+index(split(G99,"":""),2 )))/0.2+1)*$N$5,"""")"),"")</f>
        <v/>
      </c>
      <c r="I99" s="8" t="str">
        <f ca="1">IFERROR(_xlfn.RANK.EQ(H99,H:H),"")</f>
        <v/>
      </c>
      <c r="J99" s="8" t="str">
        <f>IF(AND(D99="", G99=""), "", E99+H99)</f>
        <v/>
      </c>
      <c r="K99" s="8" t="str">
        <f>IFERROR(_xlfn.RANK.EQ(J99,J:J),"")</f>
        <v/>
      </c>
      <c r="L99" s="8"/>
    </row>
    <row r="100" spans="1:12" ht="14" x14ac:dyDescent="0.3">
      <c r="A100" s="8"/>
      <c r="B100" s="8"/>
      <c r="C100" s="8"/>
      <c r="D100" s="8"/>
      <c r="E100" s="9" t="str">
        <f ca="1">IFERROR(__xludf.dummyfunction("iferror(1000+INT(($N$2-(index(split(D100,"":""),1)*60+index(split(D100,"":""),2 )))/0.2+1)*$N$3,"""")"),"")</f>
        <v/>
      </c>
      <c r="F100" s="8" t="str">
        <f ca="1">IFERROR(_xlfn.RANK.EQ(E100,E:E),"")</f>
        <v/>
      </c>
      <c r="G100" s="8"/>
      <c r="H100" s="9" t="str">
        <f ca="1">IFERROR(__xludf.dummyfunction("iferror(1000+INT(($N$4-(index(split(G100,"":""),1)*60+index(split(G100,"":""),2 )))/0.2+1)*$N$5,"""")"),"")</f>
        <v/>
      </c>
      <c r="I100" s="8" t="str">
        <f ca="1">IFERROR(_xlfn.RANK.EQ(H100,H:H),"")</f>
        <v/>
      </c>
      <c r="J100" s="8" t="str">
        <f>IF(AND(D100="", G100=""), "", E100+H100)</f>
        <v/>
      </c>
      <c r="K100" s="8" t="str">
        <f>IFERROR(_xlfn.RANK.EQ(J100,J:J),"")</f>
        <v/>
      </c>
      <c r="L100" s="8"/>
    </row>
    <row r="101" spans="1:12" ht="14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14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14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14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14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14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ht="14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ht="14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ht="14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ht="14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ht="14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ht="14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ht="14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ht="14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ht="14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ht="14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ht="14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ht="14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ht="14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ht="14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ht="14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ht="14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ht="14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ht="14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ht="14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ht="14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ht="14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ht="14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ht="14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ht="14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ht="14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ht="14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ht="14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ht="14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ht="14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ht="14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ht="14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ht="14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ht="14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ht="14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ht="14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ht="14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ht="14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ht="14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ht="14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ht="14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ht="14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ht="14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ht="14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ht="14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ht="14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ht="14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ht="14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ht="14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ht="14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ht="14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ht="14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ht="14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ht="14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 ht="14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ht="14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ht="14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ht="14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ht="14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ht="14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ht="14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 ht="14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ht="14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ht="14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ht="14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ht="14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ht="14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ht="14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 ht="14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ht="14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ht="14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ht="14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ht="14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 ht="14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ht="14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 ht="14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 ht="14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ht="14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 ht="14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 ht="14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ht="14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 ht="14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 ht="14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ht="14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 ht="14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 ht="14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ht="14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 ht="14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 ht="14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ht="14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ht="14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ht="14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ht="14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ht="14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ht="14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ht="14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ht="14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 ht="14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ht="14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 ht="14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ht="14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ht="14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 ht="14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ht="14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ht="14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 ht="14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 ht="14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 ht="14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ht="14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 ht="14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 ht="14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 ht="14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 ht="14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 ht="14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 ht="14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 ht="14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ht="14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 ht="14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 ht="14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ht="14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 ht="14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 ht="14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 ht="14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 ht="14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 ht="14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 ht="14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 ht="14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 ht="14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 ht="14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 ht="14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 ht="14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 ht="14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 ht="14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 ht="14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ht="14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ht="14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 ht="14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 ht="14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 ht="14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 ht="14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 ht="14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 ht="14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 ht="14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 ht="14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 ht="14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 ht="14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  <row r="252" spans="1:12" ht="14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</row>
    <row r="253" spans="1:12" ht="14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</row>
    <row r="254" spans="1:12" ht="14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</row>
    <row r="255" spans="1:12" ht="14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</row>
    <row r="256" spans="1:12" ht="14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</row>
    <row r="257" spans="1:12" ht="14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</row>
    <row r="258" spans="1:12" ht="14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</row>
    <row r="259" spans="1:12" ht="14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</row>
    <row r="260" spans="1:12" ht="14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</row>
    <row r="261" spans="1:12" ht="14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</row>
    <row r="262" spans="1:12" ht="14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</row>
    <row r="263" spans="1:12" ht="14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</row>
    <row r="264" spans="1:12" ht="14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</row>
    <row r="265" spans="1:12" ht="14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</row>
    <row r="266" spans="1:12" ht="14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</row>
    <row r="267" spans="1:12" ht="14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</row>
    <row r="268" spans="1:12" ht="14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</row>
    <row r="269" spans="1:12" ht="14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</row>
    <row r="270" spans="1:12" ht="14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</row>
    <row r="271" spans="1:12" ht="14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</row>
    <row r="272" spans="1:12" ht="14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</row>
    <row r="273" spans="1:12" ht="14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</row>
    <row r="274" spans="1:12" ht="14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</row>
    <row r="275" spans="1:12" ht="14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</row>
    <row r="276" spans="1:12" ht="14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</row>
    <row r="277" spans="1:12" ht="14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</row>
    <row r="278" spans="1:12" ht="14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</row>
    <row r="279" spans="1:12" ht="14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</row>
    <row r="280" spans="1:12" ht="14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</row>
    <row r="281" spans="1:12" ht="14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</row>
    <row r="282" spans="1:12" ht="14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</row>
    <row r="283" spans="1:12" ht="14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</row>
    <row r="284" spans="1:12" ht="14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</row>
    <row r="285" spans="1:12" ht="14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</row>
    <row r="286" spans="1:12" ht="14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</row>
    <row r="287" spans="1:12" ht="14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</row>
    <row r="288" spans="1:12" ht="14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</row>
    <row r="289" spans="1:12" ht="14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</row>
    <row r="290" spans="1:12" ht="14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</row>
    <row r="291" spans="1:12" ht="14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</row>
    <row r="292" spans="1:12" ht="14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</row>
    <row r="293" spans="1:12" ht="14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</row>
    <row r="294" spans="1:12" ht="14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</row>
    <row r="295" spans="1:12" ht="14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</row>
    <row r="296" spans="1:12" ht="14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</row>
    <row r="297" spans="1:12" ht="14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</row>
    <row r="298" spans="1:12" ht="14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</row>
    <row r="299" spans="1:12" ht="14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</row>
    <row r="300" spans="1:12" ht="14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</row>
    <row r="301" spans="1:12" ht="14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</row>
    <row r="302" spans="1:12" ht="14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</row>
    <row r="303" spans="1:12" ht="14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</row>
    <row r="304" spans="1:12" ht="14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</row>
    <row r="305" spans="1:12" ht="14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</row>
    <row r="306" spans="1:12" ht="14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</row>
    <row r="307" spans="1:12" ht="14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</row>
    <row r="308" spans="1:12" ht="14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</row>
    <row r="309" spans="1:12" ht="14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</row>
    <row r="310" spans="1:12" ht="14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</row>
    <row r="311" spans="1:12" ht="14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</row>
    <row r="312" spans="1:12" ht="14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</row>
    <row r="313" spans="1:12" ht="14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</row>
    <row r="314" spans="1:12" ht="14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</row>
    <row r="315" spans="1:12" ht="14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</row>
    <row r="316" spans="1:12" ht="14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</row>
    <row r="317" spans="1:12" ht="14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</row>
    <row r="318" spans="1:12" ht="14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</row>
    <row r="319" spans="1:12" ht="14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</row>
    <row r="320" spans="1:12" ht="14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</row>
    <row r="321" spans="1:12" ht="14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</row>
    <row r="322" spans="1:12" ht="14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</row>
    <row r="323" spans="1:12" ht="14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</row>
    <row r="324" spans="1:12" ht="14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</row>
    <row r="325" spans="1:12" ht="14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</row>
    <row r="326" spans="1:12" ht="14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</row>
    <row r="327" spans="1:12" ht="14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</row>
    <row r="328" spans="1:12" ht="14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</row>
    <row r="329" spans="1:12" ht="14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</row>
    <row r="330" spans="1:12" ht="14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</row>
    <row r="331" spans="1:12" ht="14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</row>
    <row r="332" spans="1:12" ht="14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</row>
    <row r="333" spans="1:12" ht="14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</row>
    <row r="334" spans="1:12" ht="14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</row>
    <row r="335" spans="1:12" ht="14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</row>
    <row r="336" spans="1:12" ht="14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</row>
    <row r="337" spans="1:12" ht="14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</row>
    <row r="338" spans="1:12" ht="14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</row>
    <row r="339" spans="1:12" ht="14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</row>
    <row r="340" spans="1:12" ht="14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</row>
    <row r="341" spans="1:12" ht="14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</row>
    <row r="342" spans="1:12" ht="14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</row>
    <row r="343" spans="1:12" ht="14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</row>
    <row r="344" spans="1:12" ht="14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</row>
    <row r="345" spans="1:12" ht="14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</row>
    <row r="346" spans="1:12" ht="14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</row>
    <row r="347" spans="1:12" ht="14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</row>
    <row r="348" spans="1:12" ht="14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</row>
    <row r="349" spans="1:12" ht="14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</row>
    <row r="350" spans="1:12" ht="14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</row>
    <row r="351" spans="1:12" ht="14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</row>
    <row r="352" spans="1:12" ht="14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</row>
    <row r="353" spans="1:12" ht="14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</row>
    <row r="354" spans="1:12" ht="14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</row>
    <row r="355" spans="1:12" ht="14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</row>
    <row r="356" spans="1:12" ht="14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</row>
    <row r="357" spans="1:12" ht="14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</row>
    <row r="358" spans="1:12" ht="14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</row>
    <row r="359" spans="1:12" ht="14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</row>
    <row r="360" spans="1:12" ht="14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</row>
    <row r="361" spans="1:12" ht="14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</row>
    <row r="362" spans="1:12" ht="14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</row>
    <row r="363" spans="1:12" ht="14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</row>
    <row r="364" spans="1:12" ht="14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</row>
    <row r="365" spans="1:12" ht="14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</row>
    <row r="366" spans="1:12" ht="14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</row>
    <row r="367" spans="1:12" ht="14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</row>
    <row r="368" spans="1:12" ht="14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</row>
    <row r="369" spans="1:12" ht="14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</row>
    <row r="370" spans="1:12" ht="14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</row>
    <row r="371" spans="1:12" ht="14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</row>
    <row r="372" spans="1:12" ht="14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</row>
    <row r="373" spans="1:12" ht="14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</row>
    <row r="374" spans="1:12" ht="14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</row>
    <row r="375" spans="1:12" ht="14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</row>
    <row r="376" spans="1:12" ht="14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</row>
    <row r="377" spans="1:12" ht="14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</row>
    <row r="378" spans="1:12" ht="14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</row>
    <row r="379" spans="1:12" ht="14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</row>
    <row r="380" spans="1:12" ht="14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</row>
    <row r="381" spans="1:12" ht="14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</row>
    <row r="382" spans="1:12" ht="14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</row>
    <row r="383" spans="1:12" ht="14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</row>
    <row r="384" spans="1:12" ht="14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</row>
    <row r="385" spans="1:12" ht="14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</row>
    <row r="386" spans="1:12" ht="14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</row>
    <row r="387" spans="1:12" ht="14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</row>
    <row r="388" spans="1:12" ht="14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</row>
    <row r="389" spans="1:12" ht="14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</row>
    <row r="390" spans="1:12" ht="14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</row>
    <row r="391" spans="1:12" ht="14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</row>
    <row r="392" spans="1:12" ht="14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</row>
    <row r="393" spans="1:12" ht="14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</row>
    <row r="394" spans="1:12" ht="14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</row>
    <row r="395" spans="1:12" ht="14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</row>
    <row r="396" spans="1:12" ht="14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</row>
    <row r="397" spans="1:12" ht="14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</row>
    <row r="398" spans="1:12" ht="14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</row>
    <row r="399" spans="1:12" ht="14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</row>
    <row r="400" spans="1:12" ht="14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</row>
    <row r="401" spans="1:12" ht="14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</row>
    <row r="402" spans="1:12" ht="14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</row>
    <row r="403" spans="1:12" ht="14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</row>
    <row r="404" spans="1:12" ht="14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</row>
    <row r="405" spans="1:12" ht="14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</row>
    <row r="406" spans="1:12" ht="14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</row>
    <row r="407" spans="1:12" ht="14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</row>
    <row r="408" spans="1:12" ht="14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</row>
    <row r="409" spans="1:12" ht="14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</row>
    <row r="410" spans="1:12" ht="14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</row>
    <row r="411" spans="1:12" ht="14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</row>
    <row r="412" spans="1:12" ht="14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</row>
    <row r="413" spans="1:12" ht="14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</row>
    <row r="414" spans="1:12" ht="14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</row>
    <row r="415" spans="1:12" ht="14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</row>
    <row r="416" spans="1:12" ht="14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</row>
    <row r="417" spans="1:12" ht="14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</row>
    <row r="418" spans="1:12" ht="14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</row>
    <row r="419" spans="1:12" ht="14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</row>
    <row r="420" spans="1:12" ht="14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</row>
    <row r="421" spans="1:12" ht="14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</row>
    <row r="422" spans="1:12" ht="14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</row>
    <row r="423" spans="1:12" ht="14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</row>
    <row r="424" spans="1:12" ht="14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</row>
    <row r="425" spans="1:12" ht="14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</row>
    <row r="426" spans="1:12" ht="14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</row>
    <row r="427" spans="1:12" ht="14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</row>
    <row r="428" spans="1:12" ht="14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</row>
    <row r="429" spans="1:12" ht="14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</row>
    <row r="430" spans="1:12" ht="14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</row>
    <row r="431" spans="1:12" ht="14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</row>
    <row r="432" spans="1:12" ht="14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</row>
    <row r="433" spans="1:12" ht="14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</row>
    <row r="434" spans="1:12" ht="14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</row>
    <row r="435" spans="1:12" ht="14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</row>
    <row r="436" spans="1:12" ht="14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</row>
    <row r="437" spans="1:12" ht="14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</row>
    <row r="438" spans="1:12" ht="14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</row>
    <row r="439" spans="1:12" ht="14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</row>
    <row r="440" spans="1:12" ht="14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</row>
    <row r="441" spans="1:12" ht="14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</row>
    <row r="442" spans="1:12" ht="14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</row>
    <row r="443" spans="1:12" ht="14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</row>
    <row r="444" spans="1:12" ht="14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</row>
    <row r="445" spans="1:12" ht="14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</row>
    <row r="446" spans="1:12" ht="14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</row>
    <row r="447" spans="1:12" ht="14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</row>
    <row r="448" spans="1:12" ht="14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</row>
    <row r="449" spans="1:12" ht="14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</row>
    <row r="450" spans="1:12" ht="14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</row>
    <row r="451" spans="1:12" ht="14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</row>
    <row r="452" spans="1:12" ht="14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</row>
    <row r="453" spans="1:12" ht="14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</row>
    <row r="454" spans="1:12" ht="14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</row>
    <row r="455" spans="1:12" ht="14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</row>
    <row r="456" spans="1:12" ht="14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</row>
    <row r="457" spans="1:12" ht="14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</row>
    <row r="458" spans="1:12" ht="14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</row>
    <row r="459" spans="1:12" ht="14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</row>
    <row r="460" spans="1:12" ht="14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</row>
    <row r="461" spans="1:12" ht="14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</row>
    <row r="462" spans="1:12" ht="14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</row>
    <row r="463" spans="1:12" ht="14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</row>
    <row r="464" spans="1:12" ht="14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</row>
    <row r="465" spans="1:12" ht="14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</row>
    <row r="466" spans="1:12" ht="14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</row>
    <row r="467" spans="1:12" ht="14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</row>
    <row r="468" spans="1:12" ht="14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</row>
    <row r="469" spans="1:12" ht="14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</row>
    <row r="470" spans="1:12" ht="14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</row>
    <row r="471" spans="1:12" ht="14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</row>
    <row r="472" spans="1:12" ht="14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</row>
    <row r="473" spans="1:12" ht="14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</row>
    <row r="474" spans="1:12" ht="14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</row>
    <row r="475" spans="1:12" ht="14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</row>
    <row r="476" spans="1:12" ht="14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</row>
    <row r="477" spans="1:12" ht="14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</row>
    <row r="478" spans="1:12" ht="14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</row>
    <row r="479" spans="1:12" ht="14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</row>
    <row r="480" spans="1:12" ht="14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</row>
    <row r="481" spans="1:12" ht="14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</row>
    <row r="482" spans="1:12" ht="14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</row>
    <row r="483" spans="1:12" ht="14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</row>
    <row r="484" spans="1:12" ht="14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</row>
    <row r="485" spans="1:12" ht="14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</row>
    <row r="486" spans="1:12" ht="14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</row>
    <row r="487" spans="1:12" ht="14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</row>
    <row r="488" spans="1:12" ht="14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</row>
    <row r="489" spans="1:12" ht="14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</row>
    <row r="490" spans="1:12" ht="14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</row>
    <row r="491" spans="1:12" ht="14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</row>
    <row r="492" spans="1:12" ht="14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</row>
    <row r="493" spans="1:12" ht="14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</row>
    <row r="494" spans="1:12" ht="14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</row>
    <row r="495" spans="1:12" ht="14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</row>
    <row r="496" spans="1:12" ht="14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</row>
    <row r="497" spans="1:12" ht="14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</row>
    <row r="498" spans="1:12" ht="14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</row>
    <row r="499" spans="1:12" ht="14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</row>
    <row r="500" spans="1:12" ht="14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</row>
    <row r="501" spans="1:12" ht="14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</row>
    <row r="502" spans="1:12" ht="14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</row>
    <row r="503" spans="1:12" ht="14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</row>
    <row r="504" spans="1:12" ht="14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</row>
    <row r="505" spans="1:12" ht="14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</row>
    <row r="506" spans="1:12" ht="14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</row>
    <row r="507" spans="1:12" ht="14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</row>
    <row r="508" spans="1:12" ht="14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</row>
    <row r="509" spans="1:12" ht="14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</row>
    <row r="510" spans="1:12" ht="14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</row>
    <row r="511" spans="1:12" ht="14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</row>
    <row r="512" spans="1:12" ht="14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</row>
    <row r="513" spans="1:12" ht="14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</row>
    <row r="514" spans="1:12" ht="14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</row>
    <row r="515" spans="1:12" ht="14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</row>
    <row r="516" spans="1:12" ht="14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</row>
    <row r="517" spans="1:12" ht="14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</row>
    <row r="518" spans="1:12" ht="14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</row>
    <row r="519" spans="1:12" ht="14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</row>
    <row r="520" spans="1:12" ht="14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</row>
    <row r="521" spans="1:12" ht="14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</row>
    <row r="522" spans="1:12" ht="14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</row>
    <row r="523" spans="1:12" ht="14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</row>
    <row r="524" spans="1:12" ht="14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</row>
    <row r="525" spans="1:12" ht="14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</row>
    <row r="526" spans="1:12" ht="14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</row>
    <row r="527" spans="1:12" ht="14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</row>
    <row r="528" spans="1:12" ht="14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</row>
    <row r="529" spans="1:12" ht="14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</row>
    <row r="530" spans="1:12" ht="14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</row>
    <row r="531" spans="1:12" ht="14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</row>
    <row r="532" spans="1:12" ht="14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</row>
    <row r="533" spans="1:12" ht="14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</row>
    <row r="534" spans="1:12" ht="14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</row>
    <row r="535" spans="1:12" ht="14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</row>
    <row r="536" spans="1:12" ht="14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</row>
    <row r="537" spans="1:12" ht="14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</row>
    <row r="538" spans="1:12" ht="14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</row>
    <row r="539" spans="1:12" ht="14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</row>
    <row r="540" spans="1:12" ht="14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</row>
    <row r="541" spans="1:12" ht="14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</row>
    <row r="542" spans="1:12" ht="14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</row>
    <row r="543" spans="1:12" ht="14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</row>
    <row r="544" spans="1:12" ht="14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</row>
    <row r="545" spans="1:12" ht="14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</row>
    <row r="546" spans="1:12" ht="14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</row>
    <row r="547" spans="1:12" ht="14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</row>
    <row r="548" spans="1:12" ht="14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</row>
    <row r="549" spans="1:12" ht="14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</row>
    <row r="550" spans="1:12" ht="14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</row>
    <row r="551" spans="1:12" ht="14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</row>
    <row r="552" spans="1:12" ht="14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</row>
    <row r="553" spans="1:12" ht="14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</row>
    <row r="554" spans="1:12" ht="14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</row>
    <row r="555" spans="1:12" ht="14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</row>
    <row r="556" spans="1:12" ht="14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</row>
    <row r="557" spans="1:12" ht="14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</row>
    <row r="558" spans="1:12" ht="14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</row>
    <row r="559" spans="1:12" ht="14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</row>
    <row r="560" spans="1:12" ht="14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</row>
    <row r="561" spans="1:12" ht="14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</row>
    <row r="562" spans="1:12" ht="14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</row>
    <row r="563" spans="1:12" ht="14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</row>
    <row r="564" spans="1:12" ht="14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</row>
    <row r="565" spans="1:12" ht="14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</row>
    <row r="566" spans="1:12" ht="14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</row>
    <row r="567" spans="1:12" ht="14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</row>
    <row r="568" spans="1:12" ht="14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</row>
    <row r="569" spans="1:12" ht="14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</row>
    <row r="570" spans="1:12" ht="14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</row>
    <row r="571" spans="1:12" ht="14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</row>
    <row r="572" spans="1:12" ht="14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</row>
    <row r="573" spans="1:12" ht="14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</row>
    <row r="574" spans="1:12" ht="14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</row>
    <row r="575" spans="1:12" ht="14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</row>
    <row r="576" spans="1:12" ht="14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</row>
    <row r="577" spans="1:12" ht="14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</row>
    <row r="578" spans="1:12" ht="14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</row>
    <row r="579" spans="1:12" ht="14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</row>
    <row r="580" spans="1:12" ht="14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</row>
    <row r="581" spans="1:12" ht="14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</row>
    <row r="582" spans="1:12" ht="14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</row>
    <row r="583" spans="1:12" ht="14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</row>
    <row r="584" spans="1:12" ht="14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</row>
    <row r="585" spans="1:12" ht="14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</row>
    <row r="586" spans="1:12" ht="14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</row>
    <row r="587" spans="1:12" ht="14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</row>
    <row r="588" spans="1:12" ht="14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</row>
    <row r="589" spans="1:12" ht="14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</row>
    <row r="590" spans="1:12" ht="14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</row>
    <row r="591" spans="1:12" ht="14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</row>
    <row r="592" spans="1:12" ht="14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</row>
    <row r="593" spans="1:12" ht="14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</row>
    <row r="594" spans="1:12" ht="14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</row>
    <row r="595" spans="1:12" ht="14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</row>
    <row r="596" spans="1:12" ht="14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</row>
    <row r="597" spans="1:12" ht="14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</row>
    <row r="598" spans="1:12" ht="14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</row>
    <row r="599" spans="1:12" ht="14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</row>
    <row r="600" spans="1:12" ht="14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</row>
    <row r="601" spans="1:12" ht="14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</row>
    <row r="602" spans="1:12" ht="14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</row>
    <row r="603" spans="1:12" ht="14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</row>
    <row r="604" spans="1:12" ht="14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</row>
    <row r="605" spans="1:12" ht="14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</row>
    <row r="606" spans="1:12" ht="14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</row>
    <row r="607" spans="1:12" ht="14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</row>
    <row r="608" spans="1:12" ht="14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</row>
    <row r="609" spans="1:12" ht="14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</row>
    <row r="610" spans="1:12" ht="14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</row>
    <row r="611" spans="1:12" ht="14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</row>
    <row r="612" spans="1:12" ht="14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</row>
    <row r="613" spans="1:12" ht="14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</row>
    <row r="614" spans="1:12" ht="14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</row>
    <row r="615" spans="1:12" ht="14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</row>
    <row r="616" spans="1:12" ht="14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</row>
    <row r="617" spans="1:12" ht="14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</row>
    <row r="618" spans="1:12" ht="14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</row>
    <row r="619" spans="1:12" ht="14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</row>
    <row r="620" spans="1:12" ht="14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</row>
    <row r="621" spans="1:12" ht="14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</row>
    <row r="622" spans="1:12" ht="14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</row>
    <row r="623" spans="1:12" ht="14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</row>
    <row r="624" spans="1:12" ht="14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</row>
    <row r="625" spans="1:12" ht="14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</row>
    <row r="626" spans="1:12" ht="14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</row>
    <row r="627" spans="1:12" ht="14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</row>
    <row r="628" spans="1:12" ht="14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</row>
    <row r="629" spans="1:12" ht="14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</row>
    <row r="630" spans="1:12" ht="14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</row>
    <row r="631" spans="1:12" ht="14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</row>
    <row r="632" spans="1:12" ht="14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</row>
    <row r="633" spans="1:12" ht="14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</row>
    <row r="634" spans="1:12" ht="14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</row>
    <row r="635" spans="1:12" ht="14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</row>
    <row r="636" spans="1:12" ht="14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</row>
    <row r="637" spans="1:12" ht="14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</row>
    <row r="638" spans="1:12" ht="14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</row>
    <row r="639" spans="1:12" ht="14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</row>
    <row r="640" spans="1:12" ht="14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</row>
    <row r="641" spans="1:12" ht="14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</row>
    <row r="642" spans="1:12" ht="14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</row>
    <row r="643" spans="1:12" ht="14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</row>
    <row r="644" spans="1:12" ht="14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</row>
    <row r="645" spans="1:12" ht="14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</row>
    <row r="646" spans="1:12" ht="14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</row>
    <row r="647" spans="1:12" ht="14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</row>
    <row r="648" spans="1:12" ht="14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</row>
    <row r="649" spans="1:12" ht="14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</row>
    <row r="650" spans="1:12" ht="14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</row>
    <row r="651" spans="1:12" ht="14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</row>
    <row r="652" spans="1:12" ht="14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</row>
    <row r="653" spans="1:12" ht="14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</row>
    <row r="654" spans="1:12" ht="14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</row>
    <row r="655" spans="1:12" ht="14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</row>
    <row r="656" spans="1:12" ht="14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</row>
    <row r="657" spans="1:12" ht="14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</row>
    <row r="658" spans="1:12" ht="14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</row>
    <row r="659" spans="1:12" ht="14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</row>
    <row r="660" spans="1:12" ht="14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</row>
    <row r="661" spans="1:12" ht="14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</row>
    <row r="662" spans="1:12" ht="14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</row>
    <row r="663" spans="1:12" ht="14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</row>
    <row r="664" spans="1:12" ht="14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</row>
    <row r="665" spans="1:12" ht="14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</row>
    <row r="666" spans="1:12" ht="14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</row>
    <row r="667" spans="1:12" ht="14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</row>
    <row r="668" spans="1:12" ht="14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</row>
    <row r="669" spans="1:12" ht="14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</row>
    <row r="670" spans="1:12" ht="14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</row>
    <row r="671" spans="1:12" ht="14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</row>
    <row r="672" spans="1:12" ht="14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</row>
    <row r="673" spans="1:12" ht="14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</row>
    <row r="674" spans="1:12" ht="14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</row>
    <row r="675" spans="1:12" ht="14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</row>
    <row r="676" spans="1:12" ht="14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</row>
    <row r="677" spans="1:12" ht="14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</row>
    <row r="678" spans="1:12" ht="14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</row>
    <row r="679" spans="1:12" ht="14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</row>
    <row r="680" spans="1:12" ht="14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</row>
    <row r="681" spans="1:12" ht="14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</row>
    <row r="682" spans="1:12" ht="14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</row>
    <row r="683" spans="1:12" ht="14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</row>
    <row r="684" spans="1:12" ht="14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</row>
    <row r="685" spans="1:12" ht="14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</row>
    <row r="686" spans="1:12" ht="14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</row>
    <row r="687" spans="1:12" ht="14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</row>
    <row r="688" spans="1:12" ht="14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</row>
    <row r="689" spans="1:12" ht="14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</row>
    <row r="690" spans="1:12" ht="14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</row>
    <row r="691" spans="1:12" ht="14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</row>
    <row r="692" spans="1:12" ht="14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</row>
    <row r="693" spans="1:12" ht="14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</row>
    <row r="694" spans="1:12" ht="14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</row>
    <row r="695" spans="1:12" ht="14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</row>
    <row r="696" spans="1:12" ht="14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</row>
    <row r="697" spans="1:12" ht="14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</row>
    <row r="698" spans="1:12" ht="14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</row>
    <row r="699" spans="1:12" ht="14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</row>
    <row r="700" spans="1:12" ht="14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</row>
    <row r="701" spans="1:12" ht="14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</row>
    <row r="702" spans="1:12" ht="14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</row>
    <row r="703" spans="1:12" ht="14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</row>
    <row r="704" spans="1:12" ht="14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</row>
    <row r="705" spans="1:12" ht="14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</row>
    <row r="706" spans="1:12" ht="14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</row>
    <row r="707" spans="1:12" ht="14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</row>
    <row r="708" spans="1:12" ht="14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</row>
    <row r="709" spans="1:12" ht="14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</row>
    <row r="710" spans="1:12" ht="14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</row>
    <row r="711" spans="1:12" ht="14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</row>
    <row r="712" spans="1:12" ht="14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</row>
    <row r="713" spans="1:12" ht="14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</row>
    <row r="714" spans="1:12" ht="14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</row>
    <row r="715" spans="1:12" ht="14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</row>
    <row r="716" spans="1:12" ht="14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</row>
    <row r="717" spans="1:12" ht="14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</row>
    <row r="718" spans="1:12" ht="14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</row>
    <row r="719" spans="1:12" ht="14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</row>
    <row r="720" spans="1:12" ht="14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</row>
    <row r="721" spans="1:12" ht="14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</row>
    <row r="722" spans="1:12" ht="14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</row>
    <row r="723" spans="1:12" ht="14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</row>
    <row r="724" spans="1:12" ht="14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</row>
    <row r="725" spans="1:12" ht="14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</row>
    <row r="726" spans="1:12" ht="14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</row>
    <row r="727" spans="1:12" ht="14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</row>
    <row r="728" spans="1:12" ht="14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</row>
    <row r="729" spans="1:12" ht="14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</row>
    <row r="730" spans="1:12" ht="14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</row>
    <row r="731" spans="1:12" ht="14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</row>
    <row r="732" spans="1:12" ht="14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</row>
    <row r="733" spans="1:12" ht="14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</row>
    <row r="734" spans="1:12" ht="14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</row>
    <row r="735" spans="1:12" ht="14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</row>
    <row r="736" spans="1:12" ht="14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</row>
    <row r="737" spans="1:12" ht="14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</row>
    <row r="738" spans="1:12" ht="14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</row>
    <row r="739" spans="1:12" ht="14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</row>
    <row r="740" spans="1:12" ht="14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</row>
    <row r="741" spans="1:12" ht="14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</row>
    <row r="742" spans="1:12" ht="14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</row>
    <row r="743" spans="1:12" ht="14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</row>
    <row r="744" spans="1:12" ht="14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</row>
    <row r="745" spans="1:12" ht="14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</row>
    <row r="746" spans="1:12" ht="14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</row>
    <row r="747" spans="1:12" ht="14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</row>
    <row r="748" spans="1:12" ht="14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</row>
    <row r="749" spans="1:12" ht="14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</row>
    <row r="750" spans="1:12" ht="14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</row>
    <row r="751" spans="1:12" ht="14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</row>
    <row r="752" spans="1:12" ht="14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</row>
    <row r="753" spans="1:12" ht="14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</row>
    <row r="754" spans="1:12" ht="14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</row>
    <row r="755" spans="1:12" ht="14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</row>
    <row r="756" spans="1:12" ht="14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</row>
    <row r="757" spans="1:12" ht="14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</row>
    <row r="758" spans="1:12" ht="14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</row>
    <row r="759" spans="1:12" ht="14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</row>
    <row r="760" spans="1:12" ht="14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</row>
    <row r="761" spans="1:12" ht="14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</row>
    <row r="762" spans="1:12" ht="14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</row>
    <row r="763" spans="1:12" ht="14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</row>
    <row r="764" spans="1:12" ht="14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</row>
    <row r="765" spans="1:12" ht="14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</row>
    <row r="766" spans="1:12" ht="14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</row>
    <row r="767" spans="1:12" ht="14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</row>
    <row r="768" spans="1:12" ht="14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</row>
    <row r="769" spans="1:12" ht="14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</row>
    <row r="770" spans="1:12" ht="14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</row>
    <row r="771" spans="1:12" ht="14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</row>
    <row r="772" spans="1:12" ht="14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</row>
    <row r="773" spans="1:12" ht="14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</row>
    <row r="774" spans="1:12" ht="14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</row>
    <row r="775" spans="1:12" ht="14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</row>
    <row r="776" spans="1:12" ht="14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</row>
    <row r="777" spans="1:12" ht="14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</row>
    <row r="778" spans="1:12" ht="14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</row>
    <row r="779" spans="1:12" ht="14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</row>
    <row r="780" spans="1:12" ht="14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</row>
    <row r="781" spans="1:12" ht="14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</row>
    <row r="782" spans="1:12" ht="14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</row>
    <row r="783" spans="1:12" ht="14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</row>
    <row r="784" spans="1:12" ht="14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</row>
    <row r="785" spans="1:12" ht="14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</row>
    <row r="786" spans="1:12" ht="14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</row>
    <row r="787" spans="1:12" ht="14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</row>
    <row r="788" spans="1:12" ht="14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</row>
    <row r="789" spans="1:12" ht="14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</row>
    <row r="790" spans="1:12" ht="14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</row>
    <row r="791" spans="1:12" ht="14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</row>
    <row r="792" spans="1:12" ht="14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</row>
    <row r="793" spans="1:12" ht="14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</row>
    <row r="794" spans="1:12" ht="14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</row>
    <row r="795" spans="1:12" ht="14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</row>
    <row r="796" spans="1:12" ht="14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</row>
    <row r="797" spans="1:12" ht="14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</row>
    <row r="798" spans="1:12" ht="14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</row>
    <row r="799" spans="1:12" ht="14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</row>
    <row r="800" spans="1:12" ht="14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</row>
    <row r="801" spans="1:12" ht="14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</row>
    <row r="802" spans="1:12" ht="14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</row>
    <row r="803" spans="1:12" ht="14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</row>
    <row r="804" spans="1:12" ht="14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</row>
    <row r="805" spans="1:12" ht="14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</row>
    <row r="806" spans="1:12" ht="14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</row>
    <row r="807" spans="1:12" ht="14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</row>
    <row r="808" spans="1:12" ht="14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</row>
    <row r="809" spans="1:12" ht="14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</row>
    <row r="810" spans="1:12" ht="14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</row>
    <row r="811" spans="1:12" ht="14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</row>
    <row r="812" spans="1:12" ht="14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</row>
    <row r="813" spans="1:12" ht="14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</row>
    <row r="814" spans="1:12" ht="14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</row>
    <row r="815" spans="1:12" ht="14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</row>
    <row r="816" spans="1:12" ht="14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</row>
    <row r="817" spans="1:12" ht="14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</row>
    <row r="818" spans="1:12" ht="14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</row>
    <row r="819" spans="1:12" ht="14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</row>
    <row r="820" spans="1:12" ht="14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</row>
    <row r="821" spans="1:12" ht="14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</row>
    <row r="822" spans="1:12" ht="14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</row>
    <row r="823" spans="1:12" ht="14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</row>
    <row r="824" spans="1:12" ht="14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</row>
    <row r="825" spans="1:12" ht="14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</row>
    <row r="826" spans="1:12" ht="14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</row>
    <row r="827" spans="1:12" ht="14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</row>
    <row r="828" spans="1:12" ht="14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</row>
    <row r="829" spans="1:12" ht="14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</row>
    <row r="830" spans="1:12" ht="14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</row>
    <row r="831" spans="1:12" ht="14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</row>
    <row r="832" spans="1:12" ht="14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</row>
    <row r="833" spans="1:12" ht="14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</row>
    <row r="834" spans="1:12" ht="14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</row>
    <row r="835" spans="1:12" ht="14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</row>
    <row r="836" spans="1:12" ht="14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</row>
    <row r="837" spans="1:12" ht="14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</row>
    <row r="838" spans="1:12" ht="14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</row>
    <row r="839" spans="1:12" ht="14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</row>
    <row r="840" spans="1:12" ht="14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</row>
    <row r="841" spans="1:12" ht="14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</row>
    <row r="842" spans="1:12" ht="14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</row>
    <row r="843" spans="1:12" ht="14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</row>
    <row r="844" spans="1:12" ht="14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</row>
    <row r="845" spans="1:12" ht="14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</row>
    <row r="846" spans="1:12" ht="14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</row>
    <row r="847" spans="1:12" ht="14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</row>
    <row r="848" spans="1:12" ht="14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</row>
    <row r="849" spans="1:12" ht="14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</row>
    <row r="850" spans="1:12" ht="14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</row>
    <row r="851" spans="1:12" ht="14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</row>
    <row r="852" spans="1:12" ht="14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</row>
    <row r="853" spans="1:12" ht="14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</row>
    <row r="854" spans="1:12" ht="14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</row>
    <row r="855" spans="1:12" ht="14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</row>
    <row r="856" spans="1:12" ht="14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</row>
    <row r="857" spans="1:12" ht="14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</row>
    <row r="858" spans="1:12" ht="14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</row>
    <row r="859" spans="1:12" ht="14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</row>
    <row r="860" spans="1:12" ht="14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</row>
    <row r="861" spans="1:12" ht="14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</row>
    <row r="862" spans="1:12" ht="14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</row>
    <row r="863" spans="1:12" ht="14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</row>
    <row r="864" spans="1:12" ht="14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</row>
    <row r="865" spans="1:12" ht="14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</row>
    <row r="866" spans="1:12" ht="14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</row>
    <row r="867" spans="1:12" ht="14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</row>
    <row r="868" spans="1:12" ht="14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</row>
    <row r="869" spans="1:12" ht="14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</row>
    <row r="870" spans="1:12" ht="14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</row>
    <row r="871" spans="1:12" ht="14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</row>
    <row r="872" spans="1:12" ht="14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</row>
    <row r="873" spans="1:12" ht="14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</row>
    <row r="874" spans="1:12" ht="14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</row>
    <row r="875" spans="1:12" ht="14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</row>
    <row r="876" spans="1:12" ht="14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</row>
    <row r="877" spans="1:12" ht="14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</row>
    <row r="878" spans="1:12" ht="14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</row>
    <row r="879" spans="1:12" ht="14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</row>
    <row r="880" spans="1:12" ht="14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</row>
    <row r="881" spans="1:12" ht="14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</row>
    <row r="882" spans="1:12" ht="14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</row>
    <row r="883" spans="1:12" ht="14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</row>
    <row r="884" spans="1:12" ht="14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</row>
    <row r="885" spans="1:12" ht="14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</row>
    <row r="886" spans="1:12" ht="14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</row>
    <row r="887" spans="1:12" ht="14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</row>
    <row r="888" spans="1:12" ht="14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</row>
    <row r="889" spans="1:12" ht="14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</row>
    <row r="890" spans="1:12" ht="14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</row>
    <row r="891" spans="1:12" ht="14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</row>
    <row r="892" spans="1:12" ht="14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</row>
    <row r="893" spans="1:12" ht="14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</row>
    <row r="894" spans="1:12" ht="14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</row>
    <row r="895" spans="1:12" ht="14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</row>
    <row r="896" spans="1:12" ht="14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</row>
    <row r="897" spans="1:12" ht="14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</row>
    <row r="898" spans="1:12" ht="14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</row>
    <row r="899" spans="1:12" ht="14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</row>
    <row r="900" spans="1:12" ht="14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</row>
    <row r="901" spans="1:12" ht="14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</row>
    <row r="902" spans="1:12" ht="14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</row>
    <row r="903" spans="1:12" ht="14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</row>
    <row r="904" spans="1:12" ht="14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</row>
    <row r="905" spans="1:12" ht="14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</row>
    <row r="906" spans="1:12" ht="14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</row>
    <row r="907" spans="1:12" ht="14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</row>
    <row r="908" spans="1:12" ht="14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</row>
    <row r="909" spans="1:12" ht="14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</row>
    <row r="910" spans="1:12" ht="14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</row>
    <row r="911" spans="1:12" ht="14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</row>
    <row r="912" spans="1:12" ht="14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</row>
    <row r="913" spans="1:12" ht="14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</row>
    <row r="914" spans="1:12" ht="14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</row>
    <row r="915" spans="1:12" ht="14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</row>
    <row r="916" spans="1:12" ht="14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</row>
    <row r="917" spans="1:12" ht="14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</row>
    <row r="918" spans="1:12" ht="14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</row>
    <row r="919" spans="1:12" ht="14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</row>
    <row r="920" spans="1:12" ht="14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</row>
    <row r="921" spans="1:12" ht="14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</row>
    <row r="922" spans="1:12" ht="14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</row>
    <row r="923" spans="1:12" ht="14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</row>
    <row r="924" spans="1:12" ht="14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</row>
    <row r="925" spans="1:12" ht="14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</row>
  </sheetData>
  <sortState xmlns:xlrd2="http://schemas.microsoft.com/office/spreadsheetml/2017/richdata2" ref="A2:L925">
    <sortCondition ref="K2:K925"/>
  </sortState>
  <printOptions horizontalCentered="1" gridLines="1"/>
  <pageMargins left="0.7" right="0.7" top="1.1437499999999998" bottom="1.1437499999999998" header="0.75" footer="0.75"/>
  <pageSetup paperSize="0" fitToWidth="0" fitToHeight="0" pageOrder="overThenDown" orientation="landscape" horizontalDpi="0" verticalDpi="0" copies="0"/>
  <headerFooter alignWithMargins="0"/>
  <ignoredErrors>
    <ignoredError sqref="J6:J26 J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'Scoring tables'!$A$2:$A$57</xm:f>
          </x14:formula1>
          <xm:sqref>L1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workbookViewId="0">
      <selection activeCell="I10" sqref="I10"/>
    </sheetView>
  </sheetViews>
  <sheetFormatPr defaultRowHeight="15.75" customHeight="1" x14ac:dyDescent="0.35"/>
  <cols>
    <col min="1" max="1" width="10.4140625" style="25" customWidth="1"/>
    <col min="2" max="2" width="23.58203125" style="25" customWidth="1"/>
    <col min="3" max="3" width="30.25" style="25" customWidth="1"/>
    <col min="4" max="11" width="8.4140625" style="25" customWidth="1"/>
    <col min="12" max="1024" width="11.6640625" style="25" customWidth="1"/>
    <col min="1025" max="16384" width="8.6640625" style="25"/>
  </cols>
  <sheetData>
    <row r="1" spans="1:14" ht="30.75" customHeight="1" x14ac:dyDescent="0.35">
      <c r="A1" s="20" t="s">
        <v>0</v>
      </c>
      <c r="B1" s="20" t="s">
        <v>26</v>
      </c>
      <c r="C1" s="20" t="s">
        <v>27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2</v>
      </c>
    </row>
    <row r="2" spans="1:14" ht="14.5" x14ac:dyDescent="0.35">
      <c r="A2" s="28">
        <f ca="1">IFERROR(__xludf.dummyfunction("""COMPUTED_VALUE"""),4)</f>
        <v>4</v>
      </c>
      <c r="B2" s="29" t="str">
        <f ca="1">IFERROR(__xludf.dummyfunction("""COMPUTED_VALUE"""),"Felicity Rose")</f>
        <v>Felicity Rose</v>
      </c>
      <c r="C2" s="29" t="str">
        <f ca="1">IFERROR(__xludf.dummyfunction("""COMPUTED_VALUE"""),"Mylnhurst Preparatory School")</f>
        <v>Mylnhurst Preparatory School</v>
      </c>
      <c r="D2" s="28" t="s">
        <v>179</v>
      </c>
      <c r="E2" s="30">
        <f ca="1">IFERROR(__xludf.dummyfunction("iferror(1000+INT(($N$2-(index(split(D5,"":""),1)*60+index(split(D5,"":""),2 )))/0.2+1)*$N$3,"""")"),976)</f>
        <v>976</v>
      </c>
      <c r="F2" s="28">
        <f ca="1">IFERROR(_xlfn.RANK.EQ(E2,E:E),"")</f>
        <v>2</v>
      </c>
      <c r="G2" s="28" t="s">
        <v>180</v>
      </c>
      <c r="H2" s="30">
        <f ca="1">IFERROR(__xludf.dummyfunction("iferror(1000+INT(($N$4-(index(split(G5,"":""),1)*60+index(split(G5,"":""),2 )))/0.2+1)*$N$5,"""")"),1150)</f>
        <v>1150</v>
      </c>
      <c r="I2" s="28">
        <f ca="1">IFERROR(_xlfn.RANK.EQ(H2,H:H),"")</f>
        <v>1</v>
      </c>
      <c r="J2" s="30">
        <f ca="1">IF(AND(D2="", G2=""), "", E2+H2)</f>
        <v>2126</v>
      </c>
      <c r="K2" s="28">
        <f ca="1">IFERROR(_xlfn.RANK.EQ(J2,J:J),"")</f>
        <v>1</v>
      </c>
      <c r="L2" s="16"/>
      <c r="M2" s="21" t="s">
        <v>38</v>
      </c>
      <c r="N2" s="26">
        <f>VLOOKUP($L$1,'Scoring tables'!$A$2:$K$57,10,0)</f>
        <v>23</v>
      </c>
    </row>
    <row r="3" spans="1:14" ht="14.5" x14ac:dyDescent="0.35">
      <c r="A3" s="28">
        <f ca="1">IFERROR(__xludf.dummyfunction("""COMPUTED_VALUE"""),2)</f>
        <v>2</v>
      </c>
      <c r="B3" s="29" t="str">
        <f ca="1">IFERROR(__xludf.dummyfunction("""COMPUTED_VALUE"""),"Emma Mitchell")</f>
        <v>Emma Mitchell</v>
      </c>
      <c r="C3" s="29" t="str">
        <f ca="1">IFERROR(__xludf.dummyfunction("""COMPUTED_VALUE"""),"Park Primary School")</f>
        <v>Park Primary School</v>
      </c>
      <c r="D3" s="28" t="s">
        <v>175</v>
      </c>
      <c r="E3" s="30">
        <f ca="1">IFERROR(__xludf.dummyfunction("iferror(1000+INT(($N$2-(index(split(D3,"":""),1)*60+index(split(D3,"":""),2 )))/0.2+1)*$N$3,"""")"),790)</f>
        <v>790</v>
      </c>
      <c r="F3" s="28">
        <f ca="1">IFERROR(_xlfn.RANK.EQ(E3,E:E),"")</f>
        <v>3</v>
      </c>
      <c r="G3" s="28" t="s">
        <v>176</v>
      </c>
      <c r="H3" s="30">
        <f ca="1">IFERROR(__xludf.dummyfunction("iferror(1000+INT(($N$4-(index(split(G3,"":""),1)*60+index(split(G3,"":""),2 )))/0.2+1)*$N$5,"""")"),1150)</f>
        <v>1150</v>
      </c>
      <c r="I3" s="28">
        <f ca="1">IFERROR(_xlfn.RANK.EQ(H3,H:H),"")</f>
        <v>1</v>
      </c>
      <c r="J3" s="30">
        <f t="shared" ref="J3:J27" ca="1" si="0">IF(AND(D3="", G3=""), "", E3+H3)</f>
        <v>1940</v>
      </c>
      <c r="K3" s="28">
        <f ca="1">IFERROR(_xlfn.RANK.EQ(J3,J:J),"")</f>
        <v>2</v>
      </c>
      <c r="L3" s="16"/>
      <c r="M3" s="21" t="s">
        <v>39</v>
      </c>
      <c r="N3" s="26">
        <f>VLOOKUP($L$1,'Scoring tables'!$A$2:$K$57,11,0)</f>
        <v>6</v>
      </c>
    </row>
    <row r="4" spans="1:14" ht="14.5" x14ac:dyDescent="0.35">
      <c r="A4" s="28">
        <f ca="1">IFERROR(__xludf.dummyfunction("""COMPUTED_VALUE"""),3)</f>
        <v>3</v>
      </c>
      <c r="B4" s="29" t="str">
        <f ca="1">IFERROR(__xludf.dummyfunction("""COMPUTED_VALUE"""),"Isabella Beach")</f>
        <v>Isabella Beach</v>
      </c>
      <c r="C4" s="29" t="str">
        <f ca="1">IFERROR(__xludf.dummyfunction("""COMPUTED_VALUE"""),"Our Lady &amp; St Gerards RC Primary School")</f>
        <v>Our Lady &amp; St Gerards RC Primary School</v>
      </c>
      <c r="D4" s="28" t="s">
        <v>177</v>
      </c>
      <c r="E4" s="30">
        <f ca="1">IFERROR(__xludf.dummyfunction("iferror(1000+INT(($N$2-(index(split(D4,"":""),1)*60+index(split(D4,"":""),2 )))/0.2+1)*$N$3,"""")"),994)</f>
        <v>994</v>
      </c>
      <c r="F4" s="28">
        <f ca="1">IFERROR(_xlfn.RANK.EQ(E4,E:E),"")</f>
        <v>1</v>
      </c>
      <c r="G4" s="28" t="s">
        <v>178</v>
      </c>
      <c r="H4" s="30">
        <f ca="1">IFERROR(__xludf.dummyfunction("iferror(1000+INT(($N$4-(index(split(G4,"":""),1)*60+index(split(G4,"":""),2 )))/0.2+1)*$N$5,"""")"),898)</f>
        <v>898</v>
      </c>
      <c r="I4" s="28">
        <f ca="1">IFERROR(_xlfn.RANK.EQ(H4,H:H),"")</f>
        <v>4</v>
      </c>
      <c r="J4" s="30">
        <f t="shared" ca="1" si="0"/>
        <v>1892</v>
      </c>
      <c r="K4" s="28">
        <f ca="1">IFERROR(_xlfn.RANK.EQ(J4,J:J),"")</f>
        <v>3</v>
      </c>
      <c r="L4" s="16"/>
      <c r="M4" s="21" t="s">
        <v>31</v>
      </c>
      <c r="N4" s="26">
        <f>VLOOKUP($L$1,'Scoring tables'!$A$2:$K$57,5,0)</f>
        <v>100</v>
      </c>
    </row>
    <row r="5" spans="1:14" ht="14.5" x14ac:dyDescent="0.35">
      <c r="A5" s="28">
        <v>17</v>
      </c>
      <c r="B5" s="29" t="s">
        <v>6</v>
      </c>
      <c r="C5" s="29" t="s">
        <v>3</v>
      </c>
      <c r="D5" s="28" t="s">
        <v>181</v>
      </c>
      <c r="E5" s="30">
        <f ca="1">IFERROR(__xludf.dummyfunction("iferror(1000+INT(($N$2-(index(split(D6,"":""),1)*60+index(split(D6,"":""),2 )))/0.2+1)*$N$3,"""")"),694)</f>
        <v>694</v>
      </c>
      <c r="F5" s="28">
        <f ca="1">IFERROR(_xlfn.RANK.EQ(E5,E:E),"")</f>
        <v>4</v>
      </c>
      <c r="G5" s="28" t="s">
        <v>182</v>
      </c>
      <c r="H5" s="30">
        <f ca="1">IFERROR(__xludf.dummyfunction("iferror(1000+INT(($N$4-(index(split(G6,"":""),1)*60+index(split(G6,"":""),2 )))/0.2+1)*$N$5,"""")"),946)</f>
        <v>946</v>
      </c>
      <c r="I5" s="28">
        <f ca="1">IFERROR(_xlfn.RANK.EQ(H5,H:H),"")</f>
        <v>3</v>
      </c>
      <c r="J5" s="30">
        <f t="shared" ca="1" si="0"/>
        <v>1640</v>
      </c>
      <c r="K5" s="28">
        <f ca="1">IFERROR(_xlfn.RANK.EQ(J5,J:J),"")</f>
        <v>4</v>
      </c>
      <c r="L5" s="16"/>
      <c r="M5" s="21" t="s">
        <v>32</v>
      </c>
      <c r="N5" s="26">
        <f>VLOOKUP($L$1,'Scoring tables'!$A$2:$K$57,6,0)</f>
        <v>6</v>
      </c>
    </row>
    <row r="6" spans="1:14" ht="14.5" x14ac:dyDescent="0.35">
      <c r="A6" s="28">
        <f ca="1">IFERROR(__xludf.dummyfunction("Query(Entries!$A$2:$U$1205,""select A,C,D where B = '""&amp;L1&amp;""'"")"),1)</f>
        <v>1</v>
      </c>
      <c r="B6" s="29" t="str">
        <f ca="1">IFERROR(__xludf.dummyfunction("""COMPUTED_VALUE"""),"Emma Massey")</f>
        <v>Emma Massey</v>
      </c>
      <c r="C6" s="29" t="str">
        <f ca="1">IFERROR(__xludf.dummyfunction("""COMPUTED_VALUE"""),"Sundridge Primary School")</f>
        <v>Sundridge Primary School</v>
      </c>
      <c r="D6" s="28" t="s">
        <v>173</v>
      </c>
      <c r="E6" s="30">
        <f ca="1">IFERROR(__xludf.dummyfunction("iferror(1000+INT(($N$2-(index(split(D2,"":""),1)*60+index(split(D2,"":""),2 )))/0.2+1)*$N$3,"""")"),550)</f>
        <v>550</v>
      </c>
      <c r="F6" s="28">
        <f ca="1">IFERROR(_xlfn.RANK.EQ(E6,E:E),"")</f>
        <v>5</v>
      </c>
      <c r="G6" s="30" t="s">
        <v>174</v>
      </c>
      <c r="H6" s="30">
        <f ca="1">IFERROR(__xludf.dummyfunction("iferror(1000+INT(($N$4-(index(split(G2,"":""),1)*60+index(split(G2,"":""),2 )))/0.2+1)*$N$5,"""")"),514)</f>
        <v>514</v>
      </c>
      <c r="I6" s="28">
        <f ca="1">IFERROR(_xlfn.RANK.EQ(H6,H:H),"")</f>
        <v>5</v>
      </c>
      <c r="J6" s="30">
        <f t="shared" ca="1" si="0"/>
        <v>1064</v>
      </c>
      <c r="K6" s="28">
        <f ca="1">IFERROR(_xlfn.RANK.EQ(J6,J:J),"")</f>
        <v>5</v>
      </c>
      <c r="L6" s="16"/>
    </row>
    <row r="7" spans="1:14" ht="14.5" x14ac:dyDescent="0.35">
      <c r="B7" s="16"/>
      <c r="C7" s="16"/>
      <c r="D7" s="16"/>
      <c r="E7" s="22" t="str">
        <f ca="1">IFERROR(__xludf.dummyfunction("iferror(1000+INT(($N$2-(index(split(D7,"":""),1)*60+index(split(D7,"":""),2 )))/0.2+1)*$N$3,"""")"),"")</f>
        <v/>
      </c>
      <c r="F7" s="16" t="str">
        <f t="shared" ref="F2:F33" ca="1" si="1">IFERROR(_xlfn.RANK.EQ(E7,E:E),"")</f>
        <v/>
      </c>
      <c r="G7" s="16"/>
      <c r="H7" s="22" t="str">
        <f ca="1">IFERROR(__xludf.dummyfunction("iferror(1000+INT(($N$4-(index(split(G7,"":""),1)*60+index(split(G7,"":""),2 )))/0.2+1)*$N$5,"""")"),"")</f>
        <v/>
      </c>
      <c r="I7" s="16" t="str">
        <f t="shared" ref="I2:I33" ca="1" si="2">IFERROR(_xlfn.RANK.EQ(H7,H:H),"")</f>
        <v/>
      </c>
      <c r="J7" s="22" t="str">
        <f t="shared" si="0"/>
        <v/>
      </c>
      <c r="K7" s="16" t="str">
        <f t="shared" ref="K2:K33" si="3">IFERROR(_xlfn.RANK.EQ(J7,J:J),"")</f>
        <v/>
      </c>
      <c r="L7" s="16"/>
    </row>
    <row r="8" spans="1:14" ht="14.5" x14ac:dyDescent="0.35">
      <c r="A8" s="2"/>
      <c r="B8" s="3"/>
      <c r="C8" s="3"/>
      <c r="D8" s="3"/>
      <c r="E8" s="22" t="str">
        <f ca="1">IFERROR(__xludf.dummyfunction("iferror(1000+INT(($N$2-(index(split(D8,"":""),1)*60+index(split(D8,"":""),2 )))/0.2+1)*$N$3,"""")"),"")</f>
        <v/>
      </c>
      <c r="F8" s="16" t="str">
        <f t="shared" ca="1" si="1"/>
        <v/>
      </c>
      <c r="G8" s="16"/>
      <c r="H8" s="22" t="str">
        <f ca="1">IFERROR(__xludf.dummyfunction("iferror(1000+INT(($N$4-(index(split(G8,"":""),1)*60+index(split(G8,"":""),2 )))/0.2+1)*$N$5,"""")"),"")</f>
        <v/>
      </c>
      <c r="I8" s="16" t="str">
        <f t="shared" ca="1" si="2"/>
        <v/>
      </c>
      <c r="J8" s="22" t="str">
        <f t="shared" si="0"/>
        <v/>
      </c>
      <c r="K8" s="16" t="str">
        <f t="shared" si="3"/>
        <v/>
      </c>
      <c r="L8" s="16"/>
    </row>
    <row r="9" spans="1:14" ht="14.5" x14ac:dyDescent="0.35">
      <c r="A9" s="2"/>
      <c r="B9" s="3"/>
      <c r="C9" s="3"/>
      <c r="D9" s="3"/>
      <c r="E9" s="22" t="str">
        <f ca="1">IFERROR(__xludf.dummyfunction("iferror(1000+INT(($N$2-(index(split(D9,"":""),1)*60+index(split(D9,"":""),2 )))/0.2+1)*$N$3,"""")"),"")</f>
        <v/>
      </c>
      <c r="F9" s="16" t="str">
        <f t="shared" ca="1" si="1"/>
        <v/>
      </c>
      <c r="G9" s="16"/>
      <c r="H9" s="22" t="str">
        <f ca="1">IFERROR(__xludf.dummyfunction("iferror(1000+INT(($N$4-(index(split(G9,"":""),1)*60+index(split(G9,"":""),2 )))/0.2+1)*$N$5,"""")"),"")</f>
        <v/>
      </c>
      <c r="I9" s="16" t="str">
        <f t="shared" ca="1" si="2"/>
        <v/>
      </c>
      <c r="J9" s="22" t="str">
        <f t="shared" si="0"/>
        <v/>
      </c>
      <c r="K9" s="16" t="str">
        <f t="shared" si="3"/>
        <v/>
      </c>
      <c r="L9" s="16"/>
    </row>
    <row r="10" spans="1:14" ht="14.5" x14ac:dyDescent="0.35">
      <c r="A10" s="2"/>
      <c r="B10" s="3"/>
      <c r="C10" s="3"/>
      <c r="D10" s="3"/>
      <c r="E10" s="22" t="str">
        <f ca="1">IFERROR(__xludf.dummyfunction("iferror(1000+INT(($N$2-(index(split(D10,"":""),1)*60+index(split(D10,"":""),2 )))/0.2+1)*$N$3,"""")"),"")</f>
        <v/>
      </c>
      <c r="F10" s="16" t="str">
        <f t="shared" ca="1" si="1"/>
        <v/>
      </c>
      <c r="G10" s="16"/>
      <c r="H10" s="22" t="str">
        <f ca="1">IFERROR(__xludf.dummyfunction("iferror(1000+INT(($N$4-(index(split(G10,"":""),1)*60+index(split(G10,"":""),2 )))/0.2+1)*$N$5,"""")"),"")</f>
        <v/>
      </c>
      <c r="I10" s="16" t="str">
        <f t="shared" ca="1" si="2"/>
        <v/>
      </c>
      <c r="J10" s="22" t="str">
        <f t="shared" si="0"/>
        <v/>
      </c>
      <c r="K10" s="16" t="str">
        <f t="shared" si="3"/>
        <v/>
      </c>
      <c r="L10" s="16"/>
    </row>
    <row r="11" spans="1:14" ht="14.5" x14ac:dyDescent="0.35">
      <c r="A11" s="2"/>
      <c r="B11" s="3"/>
      <c r="C11" s="3"/>
      <c r="D11" s="3"/>
      <c r="E11" s="22" t="str">
        <f ca="1">IFERROR(__xludf.dummyfunction("iferror(1000+INT(($N$2-(index(split(D11,"":""),1)*60+index(split(D11,"":""),2 )))/0.2+1)*$N$3,"""")"),"")</f>
        <v/>
      </c>
      <c r="F11" s="16" t="str">
        <f t="shared" ca="1" si="1"/>
        <v/>
      </c>
      <c r="G11" s="16"/>
      <c r="H11" s="22" t="str">
        <f ca="1">IFERROR(__xludf.dummyfunction("iferror(1000+INT(($N$4-(index(split(G11,"":""),1)*60+index(split(G11,"":""),2 )))/0.2+1)*$N$5,"""")"),"")</f>
        <v/>
      </c>
      <c r="I11" s="16" t="str">
        <f t="shared" ca="1" si="2"/>
        <v/>
      </c>
      <c r="J11" s="22" t="str">
        <f t="shared" si="0"/>
        <v/>
      </c>
      <c r="K11" s="16" t="str">
        <f t="shared" si="3"/>
        <v/>
      </c>
      <c r="L11" s="16"/>
    </row>
    <row r="12" spans="1:14" ht="14.5" x14ac:dyDescent="0.35">
      <c r="A12" s="2"/>
      <c r="B12" s="3"/>
      <c r="C12" s="3"/>
      <c r="D12" s="3"/>
      <c r="E12" s="22" t="str">
        <f ca="1">IFERROR(__xludf.dummyfunction("iferror(1000+INT(($N$2-(index(split(D12,"":""),1)*60+index(split(D12,"":""),2 )))/0.2+1)*$N$3,"""")"),"")</f>
        <v/>
      </c>
      <c r="F12" s="16" t="str">
        <f t="shared" ca="1" si="1"/>
        <v/>
      </c>
      <c r="G12" s="16"/>
      <c r="H12" s="22" t="str">
        <f ca="1">IFERROR(__xludf.dummyfunction("iferror(1000+INT(($N$4-(index(split(G12,"":""),1)*60+index(split(G12,"":""),2 )))/0.2+1)*$N$5,"""")"),"")</f>
        <v/>
      </c>
      <c r="I12" s="16" t="str">
        <f t="shared" ca="1" si="2"/>
        <v/>
      </c>
      <c r="J12" s="22" t="str">
        <f t="shared" si="0"/>
        <v/>
      </c>
      <c r="K12" s="16" t="str">
        <f t="shared" si="3"/>
        <v/>
      </c>
      <c r="L12" s="16"/>
    </row>
    <row r="13" spans="1:14" ht="14.5" x14ac:dyDescent="0.35">
      <c r="A13" s="2"/>
      <c r="B13" s="3"/>
      <c r="C13" s="3"/>
      <c r="D13" s="3"/>
      <c r="E13" s="22" t="str">
        <f ca="1">IFERROR(__xludf.dummyfunction("iferror(1000+INT(($N$2-(index(split(D13,"":""),1)*60+index(split(D13,"":""),2 )))/0.2+1)*$N$3,"""")"),"")</f>
        <v/>
      </c>
      <c r="F13" s="16" t="str">
        <f t="shared" ca="1" si="1"/>
        <v/>
      </c>
      <c r="G13" s="16"/>
      <c r="H13" s="22" t="str">
        <f ca="1">IFERROR(__xludf.dummyfunction("iferror(1000+INT(($N$4-(index(split(G13,"":""),1)*60+index(split(G13,"":""),2 )))/0.2+1)*$N$5,"""")"),"")</f>
        <v/>
      </c>
      <c r="I13" s="16" t="str">
        <f t="shared" ca="1" si="2"/>
        <v/>
      </c>
      <c r="J13" s="22" t="str">
        <f t="shared" si="0"/>
        <v/>
      </c>
      <c r="K13" s="16" t="str">
        <f t="shared" si="3"/>
        <v/>
      </c>
      <c r="L13" s="16"/>
    </row>
    <row r="14" spans="1:14" ht="14.5" x14ac:dyDescent="0.35">
      <c r="A14" s="2"/>
      <c r="B14" s="3"/>
      <c r="C14" s="3"/>
      <c r="D14" s="3"/>
      <c r="E14" s="22" t="str">
        <f ca="1">IFERROR(__xludf.dummyfunction("iferror(1000+INT(($N$2-(index(split(D14,"":""),1)*60+index(split(D14,"":""),2 )))/0.2+1)*$N$3,"""")"),"")</f>
        <v/>
      </c>
      <c r="F14" s="16" t="str">
        <f t="shared" ca="1" si="1"/>
        <v/>
      </c>
      <c r="G14" s="16"/>
      <c r="H14" s="22" t="str">
        <f ca="1">IFERROR(__xludf.dummyfunction("iferror(1000+INT(($N$4-(index(split(G14,"":""),1)*60+index(split(G14,"":""),2 )))/0.2+1)*$N$5,"""")"),"")</f>
        <v/>
      </c>
      <c r="I14" s="16" t="str">
        <f t="shared" ca="1" si="2"/>
        <v/>
      </c>
      <c r="J14" s="22" t="str">
        <f t="shared" si="0"/>
        <v/>
      </c>
      <c r="K14" s="16" t="str">
        <f t="shared" si="3"/>
        <v/>
      </c>
      <c r="L14" s="16"/>
    </row>
    <row r="15" spans="1:14" ht="14.5" x14ac:dyDescent="0.35">
      <c r="A15" s="2"/>
      <c r="B15" s="3"/>
      <c r="C15" s="3"/>
      <c r="D15" s="3"/>
      <c r="E15" s="22" t="str">
        <f ca="1">IFERROR(__xludf.dummyfunction("iferror(1000+INT(($N$2-(index(split(D15,"":""),1)*60+index(split(D15,"":""),2 )))/0.2+1)*$N$3,"""")"),"")</f>
        <v/>
      </c>
      <c r="F15" s="16" t="str">
        <f t="shared" ca="1" si="1"/>
        <v/>
      </c>
      <c r="G15" s="16"/>
      <c r="H15" s="22" t="str">
        <f ca="1">IFERROR(__xludf.dummyfunction("iferror(1000+INT(($N$4-(index(split(G15,"":""),1)*60+index(split(G15,"":""),2 )))/0.2+1)*$N$5,"""")"),"")</f>
        <v/>
      </c>
      <c r="I15" s="16" t="str">
        <f t="shared" ca="1" si="2"/>
        <v/>
      </c>
      <c r="J15" s="22" t="str">
        <f t="shared" si="0"/>
        <v/>
      </c>
      <c r="K15" s="16" t="str">
        <f t="shared" si="3"/>
        <v/>
      </c>
      <c r="L15" s="16"/>
    </row>
    <row r="16" spans="1:14" ht="14.5" x14ac:dyDescent="0.35">
      <c r="A16" s="16"/>
      <c r="B16" s="16"/>
      <c r="C16" s="16"/>
      <c r="D16" s="16"/>
      <c r="E16" s="22" t="str">
        <f ca="1">IFERROR(__xludf.dummyfunction("iferror(1000+INT(($N$2-(index(split(D16,"":""),1)*60+index(split(D16,"":""),2 )))/0.2+1)*$N$3,"""")"),"")</f>
        <v/>
      </c>
      <c r="F16" s="16" t="str">
        <f t="shared" ca="1" si="1"/>
        <v/>
      </c>
      <c r="G16" s="16"/>
      <c r="H16" s="22" t="str">
        <f ca="1">IFERROR(__xludf.dummyfunction("iferror(1000+INT(($N$4-(index(split(G16,"":""),1)*60+index(split(G16,"":""),2 )))/0.2+1)*$N$5,"""")"),"")</f>
        <v/>
      </c>
      <c r="I16" s="16" t="str">
        <f t="shared" ca="1" si="2"/>
        <v/>
      </c>
      <c r="J16" s="22" t="str">
        <f t="shared" si="0"/>
        <v/>
      </c>
      <c r="K16" s="16" t="str">
        <f t="shared" si="3"/>
        <v/>
      </c>
      <c r="L16" s="16"/>
    </row>
    <row r="17" spans="1:12" ht="14.5" x14ac:dyDescent="0.35">
      <c r="A17" s="16"/>
      <c r="B17" s="16"/>
      <c r="C17" s="16"/>
      <c r="D17" s="16"/>
      <c r="E17" s="22" t="str">
        <f ca="1">IFERROR(__xludf.dummyfunction("iferror(1000+INT(($N$2-(index(split(D17,"":""),1)*60+index(split(D17,"":""),2 )))/0.2+1)*$N$3,"""")"),"")</f>
        <v/>
      </c>
      <c r="F17" s="16" t="str">
        <f t="shared" ca="1" si="1"/>
        <v/>
      </c>
      <c r="G17" s="16"/>
      <c r="H17" s="22" t="str">
        <f ca="1">IFERROR(__xludf.dummyfunction("iferror(1000+INT(($N$4-(index(split(G17,"":""),1)*60+index(split(G17,"":""),2 )))/0.2+1)*$N$5,"""")"),"")</f>
        <v/>
      </c>
      <c r="I17" s="16" t="str">
        <f t="shared" ca="1" si="2"/>
        <v/>
      </c>
      <c r="J17" s="22" t="str">
        <f t="shared" si="0"/>
        <v/>
      </c>
      <c r="K17" s="16" t="str">
        <f t="shared" si="3"/>
        <v/>
      </c>
      <c r="L17" s="16"/>
    </row>
    <row r="18" spans="1:12" ht="14.5" x14ac:dyDescent="0.35">
      <c r="A18" s="16"/>
      <c r="B18" s="16"/>
      <c r="C18" s="16"/>
      <c r="D18" s="16"/>
      <c r="E18" s="22" t="str">
        <f ca="1">IFERROR(__xludf.dummyfunction("iferror(1000+INT(($N$2-(index(split(D18,"":""),1)*60+index(split(D18,"":""),2 )))/0.2+1)*$N$3,"""")"),"")</f>
        <v/>
      </c>
      <c r="F18" s="16" t="str">
        <f t="shared" ca="1" si="1"/>
        <v/>
      </c>
      <c r="G18" s="16"/>
      <c r="H18" s="22" t="str">
        <f ca="1">IFERROR(__xludf.dummyfunction("iferror(1000+INT(($N$4-(index(split(G18,"":""),1)*60+index(split(G18,"":""),2 )))/0.2+1)*$N$5,"""")"),"")</f>
        <v/>
      </c>
      <c r="I18" s="16" t="str">
        <f t="shared" ca="1" si="2"/>
        <v/>
      </c>
      <c r="J18" s="22" t="str">
        <f t="shared" si="0"/>
        <v/>
      </c>
      <c r="K18" s="16" t="str">
        <f t="shared" si="3"/>
        <v/>
      </c>
      <c r="L18" s="16"/>
    </row>
    <row r="19" spans="1:12" ht="14.5" x14ac:dyDescent="0.35">
      <c r="A19" s="16"/>
      <c r="B19" s="16"/>
      <c r="C19" s="16"/>
      <c r="D19" s="16"/>
      <c r="E19" s="22" t="str">
        <f ca="1">IFERROR(__xludf.dummyfunction("iferror(1000+INT(($N$2-(index(split(D19,"":""),1)*60+index(split(D19,"":""),2 )))/0.2+1)*$N$3,"""")"),"")</f>
        <v/>
      </c>
      <c r="F19" s="16" t="str">
        <f t="shared" ca="1" si="1"/>
        <v/>
      </c>
      <c r="G19" s="16"/>
      <c r="H19" s="22" t="str">
        <f ca="1">IFERROR(__xludf.dummyfunction("iferror(1000+INT(($N$4-(index(split(G19,"":""),1)*60+index(split(G19,"":""),2 )))/0.2+1)*$N$5,"""")"),"")</f>
        <v/>
      </c>
      <c r="I19" s="16" t="str">
        <f t="shared" ca="1" si="2"/>
        <v/>
      </c>
      <c r="J19" s="22" t="str">
        <f t="shared" si="0"/>
        <v/>
      </c>
      <c r="K19" s="16" t="str">
        <f t="shared" si="3"/>
        <v/>
      </c>
      <c r="L19" s="16"/>
    </row>
    <row r="20" spans="1:12" ht="14.5" x14ac:dyDescent="0.35">
      <c r="A20" s="16"/>
      <c r="B20" s="16"/>
      <c r="C20" s="16"/>
      <c r="D20" s="16"/>
      <c r="E20" s="22" t="str">
        <f ca="1">IFERROR(__xludf.dummyfunction("iferror(1000+INT(($N$2-(index(split(D20,"":""),1)*60+index(split(D20,"":""),2 )))/0.2+1)*$N$3,"""")"),"")</f>
        <v/>
      </c>
      <c r="F20" s="16" t="str">
        <f t="shared" ca="1" si="1"/>
        <v/>
      </c>
      <c r="G20" s="16"/>
      <c r="H20" s="22" t="str">
        <f ca="1">IFERROR(__xludf.dummyfunction("iferror(1000+INT(($N$4-(index(split(G20,"":""),1)*60+index(split(G20,"":""),2 )))/0.2+1)*$N$5,"""")"),"")</f>
        <v/>
      </c>
      <c r="I20" s="16" t="str">
        <f t="shared" ca="1" si="2"/>
        <v/>
      </c>
      <c r="J20" s="22" t="str">
        <f t="shared" si="0"/>
        <v/>
      </c>
      <c r="K20" s="16" t="str">
        <f t="shared" si="3"/>
        <v/>
      </c>
      <c r="L20" s="16"/>
    </row>
    <row r="21" spans="1:12" ht="14.5" x14ac:dyDescent="0.35">
      <c r="A21" s="16"/>
      <c r="B21" s="16"/>
      <c r="C21" s="16"/>
      <c r="D21" s="16"/>
      <c r="E21" s="22" t="str">
        <f ca="1">IFERROR(__xludf.dummyfunction("iferror(1000+INT(($N$2-(index(split(D21,"":""),1)*60+index(split(D21,"":""),2 )))/0.2+1)*$N$3,"""")"),"")</f>
        <v/>
      </c>
      <c r="F21" s="16" t="str">
        <f t="shared" ca="1" si="1"/>
        <v/>
      </c>
      <c r="G21" s="16"/>
      <c r="H21" s="22" t="str">
        <f ca="1">IFERROR(__xludf.dummyfunction("iferror(1000+INT(($N$4-(index(split(G21,"":""),1)*60+index(split(G21,"":""),2 )))/0.2+1)*$N$5,"""")"),"")</f>
        <v/>
      </c>
      <c r="I21" s="16" t="str">
        <f t="shared" ca="1" si="2"/>
        <v/>
      </c>
      <c r="J21" s="22" t="str">
        <f t="shared" si="0"/>
        <v/>
      </c>
      <c r="K21" s="16" t="str">
        <f t="shared" si="3"/>
        <v/>
      </c>
      <c r="L21" s="16"/>
    </row>
    <row r="22" spans="1:12" ht="14.5" x14ac:dyDescent="0.35">
      <c r="A22" s="16"/>
      <c r="B22" s="16"/>
      <c r="C22" s="16"/>
      <c r="D22" s="16"/>
      <c r="E22" s="22" t="str">
        <f ca="1">IFERROR(__xludf.dummyfunction("iferror(1000+INT(($N$2-(index(split(D22,"":""),1)*60+index(split(D22,"":""),2 )))/0.2+1)*$N$3,"""")"),"")</f>
        <v/>
      </c>
      <c r="F22" s="16" t="str">
        <f t="shared" ca="1" si="1"/>
        <v/>
      </c>
      <c r="G22" s="16"/>
      <c r="H22" s="22" t="str">
        <f ca="1">IFERROR(__xludf.dummyfunction("iferror(1000+INT(($N$4-(index(split(G22,"":""),1)*60+index(split(G22,"":""),2 )))/0.2+1)*$N$5,"""")"),"")</f>
        <v/>
      </c>
      <c r="I22" s="16" t="str">
        <f t="shared" ca="1" si="2"/>
        <v/>
      </c>
      <c r="J22" s="22" t="str">
        <f t="shared" si="0"/>
        <v/>
      </c>
      <c r="K22" s="16" t="str">
        <f t="shared" si="3"/>
        <v/>
      </c>
      <c r="L22" s="16"/>
    </row>
    <row r="23" spans="1:12" ht="14.5" x14ac:dyDescent="0.35">
      <c r="A23" s="16"/>
      <c r="B23" s="16"/>
      <c r="C23" s="16"/>
      <c r="D23" s="16"/>
      <c r="E23" s="22" t="str">
        <f ca="1">IFERROR(__xludf.dummyfunction("iferror(1000+INT(($N$2-(index(split(D23,"":""),1)*60+index(split(D23,"":""),2 )))/0.2+1)*$N$3,"""")"),"")</f>
        <v/>
      </c>
      <c r="F23" s="16" t="str">
        <f t="shared" ca="1" si="1"/>
        <v/>
      </c>
      <c r="G23" s="16"/>
      <c r="H23" s="22" t="str">
        <f ca="1">IFERROR(__xludf.dummyfunction("iferror(1000+INT(($N$4-(index(split(G23,"":""),1)*60+index(split(G23,"":""),2 )))/0.2+1)*$N$5,"""")"),"")</f>
        <v/>
      </c>
      <c r="I23" s="16" t="str">
        <f t="shared" ca="1" si="2"/>
        <v/>
      </c>
      <c r="J23" s="22" t="str">
        <f t="shared" si="0"/>
        <v/>
      </c>
      <c r="K23" s="16" t="str">
        <f t="shared" si="3"/>
        <v/>
      </c>
      <c r="L23" s="16"/>
    </row>
    <row r="24" spans="1:12" ht="14.5" x14ac:dyDescent="0.35">
      <c r="A24" s="16"/>
      <c r="B24" s="16"/>
      <c r="C24" s="16"/>
      <c r="D24" s="16"/>
      <c r="E24" s="22" t="str">
        <f ca="1">IFERROR(__xludf.dummyfunction("iferror(1000+INT(($N$2-(index(split(D24,"":""),1)*60+index(split(D24,"":""),2 )))/0.2+1)*$N$3,"""")"),"")</f>
        <v/>
      </c>
      <c r="F24" s="16" t="str">
        <f t="shared" ca="1" si="1"/>
        <v/>
      </c>
      <c r="G24" s="16"/>
      <c r="H24" s="22" t="str">
        <f ca="1">IFERROR(__xludf.dummyfunction("iferror(1000+INT(($N$4-(index(split(G24,"":""),1)*60+index(split(G24,"":""),2 )))/0.2+1)*$N$5,"""")"),"")</f>
        <v/>
      </c>
      <c r="I24" s="16" t="str">
        <f t="shared" ca="1" si="2"/>
        <v/>
      </c>
      <c r="J24" s="22" t="str">
        <f t="shared" si="0"/>
        <v/>
      </c>
      <c r="K24" s="16" t="str">
        <f t="shared" si="3"/>
        <v/>
      </c>
      <c r="L24" s="16"/>
    </row>
    <row r="25" spans="1:12" ht="14.5" x14ac:dyDescent="0.35">
      <c r="A25" s="16"/>
      <c r="B25" s="16"/>
      <c r="C25" s="16"/>
      <c r="D25" s="16"/>
      <c r="E25" s="22" t="str">
        <f ca="1">IFERROR(__xludf.dummyfunction("iferror(1000+INT(($N$2-(index(split(D25,"":""),1)*60+index(split(D25,"":""),2 )))/0.2+1)*$N$3,"""")"),"")</f>
        <v/>
      </c>
      <c r="F25" s="16" t="str">
        <f t="shared" ca="1" si="1"/>
        <v/>
      </c>
      <c r="G25" s="16"/>
      <c r="H25" s="22" t="str">
        <f ca="1">IFERROR(__xludf.dummyfunction("iferror(1000+INT(($N$4-(index(split(G25,"":""),1)*60+index(split(G25,"":""),2 )))/0.2+1)*$N$5,"""")"),"")</f>
        <v/>
      </c>
      <c r="I25" s="16" t="str">
        <f t="shared" ca="1" si="2"/>
        <v/>
      </c>
      <c r="J25" s="22" t="str">
        <f t="shared" si="0"/>
        <v/>
      </c>
      <c r="K25" s="16" t="str">
        <f t="shared" si="3"/>
        <v/>
      </c>
      <c r="L25" s="16"/>
    </row>
    <row r="26" spans="1:12" ht="14.5" x14ac:dyDescent="0.35">
      <c r="A26" s="16"/>
      <c r="B26" s="16"/>
      <c r="C26" s="16"/>
      <c r="D26" s="16"/>
      <c r="E26" s="22" t="str">
        <f ca="1">IFERROR(__xludf.dummyfunction("iferror(1000+INT(($N$2-(index(split(D26,"":""),1)*60+index(split(D26,"":""),2 )))/0.2+1)*$N$3,"""")"),"")</f>
        <v/>
      </c>
      <c r="F26" s="16" t="str">
        <f t="shared" ca="1" si="1"/>
        <v/>
      </c>
      <c r="G26" s="16"/>
      <c r="H26" s="22" t="str">
        <f ca="1">IFERROR(__xludf.dummyfunction("iferror(1000+INT(($N$4-(index(split(G26,"":""),1)*60+index(split(G26,"":""),2 )))/0.2+1)*$N$5,"""")"),"")</f>
        <v/>
      </c>
      <c r="I26" s="16" t="str">
        <f t="shared" ca="1" si="2"/>
        <v/>
      </c>
      <c r="J26" s="22" t="str">
        <f t="shared" si="0"/>
        <v/>
      </c>
      <c r="K26" s="16" t="str">
        <f t="shared" si="3"/>
        <v/>
      </c>
      <c r="L26" s="16"/>
    </row>
    <row r="27" spans="1:12" ht="14.5" x14ac:dyDescent="0.35">
      <c r="A27" s="16"/>
      <c r="B27" s="16"/>
      <c r="C27" s="16"/>
      <c r="D27" s="16"/>
      <c r="E27" s="22" t="str">
        <f ca="1">IFERROR(__xludf.dummyfunction("iferror(1000+INT(($N$2-(index(split(D27,"":""),1)*60+index(split(D27,"":""),2 )))/0.2+1)*$N$3,"""")"),"")</f>
        <v/>
      </c>
      <c r="F27" s="16" t="str">
        <f t="shared" ca="1" si="1"/>
        <v/>
      </c>
      <c r="G27" s="16"/>
      <c r="H27" s="22" t="str">
        <f ca="1">IFERROR(__xludf.dummyfunction("iferror(1000+INT(($N$4-(index(split(G27,"":""),1)*60+index(split(G27,"":""),2 )))/0.2+1)*$N$5,"""")"),"")</f>
        <v/>
      </c>
      <c r="I27" s="16" t="str">
        <f t="shared" ca="1" si="2"/>
        <v/>
      </c>
      <c r="J27" s="22" t="str">
        <f t="shared" si="0"/>
        <v/>
      </c>
      <c r="K27" s="16" t="str">
        <f t="shared" si="3"/>
        <v/>
      </c>
      <c r="L27" s="16"/>
    </row>
    <row r="28" spans="1:12" ht="14.5" x14ac:dyDescent="0.35">
      <c r="A28" s="16"/>
      <c r="B28" s="16"/>
      <c r="C28" s="16"/>
      <c r="D28" s="16"/>
      <c r="E28" s="22" t="str">
        <f ca="1">IFERROR(__xludf.dummyfunction("iferror(1000+INT(($N$2-(index(split(D28,"":""),1)*60+index(split(D28,"":""),2 )))/0.2+1)*$N$3,"""")"),"")</f>
        <v/>
      </c>
      <c r="F28" s="16" t="str">
        <f t="shared" ca="1" si="1"/>
        <v/>
      </c>
      <c r="G28" s="16"/>
      <c r="H28" s="22" t="str">
        <f ca="1">IFERROR(__xludf.dummyfunction("iferror(1000+INT(($N$4-(index(split(G28,"":""),1)*60+index(split(G28,"":""),2 )))/0.2+1)*$N$5,"""")"),"")</f>
        <v/>
      </c>
      <c r="I28" s="16" t="str">
        <f t="shared" ca="1" si="2"/>
        <v/>
      </c>
      <c r="J28" s="16" t="str">
        <f t="shared" ref="J2:J33" si="4">IF(AND(D28="", G28=""), "", E28+H28)</f>
        <v/>
      </c>
      <c r="K28" s="16" t="str">
        <f t="shared" si="3"/>
        <v/>
      </c>
      <c r="L28" s="16"/>
    </row>
    <row r="29" spans="1:12" ht="14.5" x14ac:dyDescent="0.35">
      <c r="A29" s="16"/>
      <c r="B29" s="16"/>
      <c r="C29" s="16"/>
      <c r="D29" s="16"/>
      <c r="E29" s="22" t="str">
        <f ca="1">IFERROR(__xludf.dummyfunction("iferror(1000+INT(($N$2-(index(split(D29,"":""),1)*60+index(split(D29,"":""),2 )))/0.2+1)*$N$3,"""")"),"")</f>
        <v/>
      </c>
      <c r="F29" s="16" t="str">
        <f t="shared" ca="1" si="1"/>
        <v/>
      </c>
      <c r="G29" s="16"/>
      <c r="H29" s="22" t="str">
        <f ca="1">IFERROR(__xludf.dummyfunction("iferror(1000+INT(($N$4-(index(split(G29,"":""),1)*60+index(split(G29,"":""),2 )))/0.2+1)*$N$5,"""")"),"")</f>
        <v/>
      </c>
      <c r="I29" s="16" t="str">
        <f t="shared" ca="1" si="2"/>
        <v/>
      </c>
      <c r="J29" s="16" t="str">
        <f t="shared" si="4"/>
        <v/>
      </c>
      <c r="K29" s="16" t="str">
        <f t="shared" si="3"/>
        <v/>
      </c>
      <c r="L29" s="16"/>
    </row>
    <row r="30" spans="1:12" ht="14.5" x14ac:dyDescent="0.35">
      <c r="A30" s="16"/>
      <c r="B30" s="16"/>
      <c r="C30" s="16"/>
      <c r="D30" s="16"/>
      <c r="E30" s="22" t="str">
        <f ca="1">IFERROR(__xludf.dummyfunction("iferror(1000+INT(($N$2-(index(split(D30,"":""),1)*60+index(split(D30,"":""),2 )))/0.2+1)*$N$3,"""")"),"")</f>
        <v/>
      </c>
      <c r="F30" s="16" t="str">
        <f t="shared" ca="1" si="1"/>
        <v/>
      </c>
      <c r="G30" s="16"/>
      <c r="H30" s="22" t="str">
        <f ca="1">IFERROR(__xludf.dummyfunction("iferror(1000+INT(($N$4-(index(split(G30,"":""),1)*60+index(split(G30,"":""),2 )))/0.2+1)*$N$5,"""")"),"")</f>
        <v/>
      </c>
      <c r="I30" s="16" t="str">
        <f t="shared" ca="1" si="2"/>
        <v/>
      </c>
      <c r="J30" s="16" t="str">
        <f t="shared" si="4"/>
        <v/>
      </c>
      <c r="K30" s="16" t="str">
        <f t="shared" si="3"/>
        <v/>
      </c>
      <c r="L30" s="16"/>
    </row>
    <row r="31" spans="1:12" ht="14.5" x14ac:dyDescent="0.35">
      <c r="A31" s="16"/>
      <c r="B31" s="16"/>
      <c r="C31" s="16"/>
      <c r="D31" s="16"/>
      <c r="E31" s="22" t="str">
        <f ca="1">IFERROR(__xludf.dummyfunction("iferror(1000+INT(($N$2-(index(split(D31,"":""),1)*60+index(split(D31,"":""),2 )))/0.2+1)*$N$3,"""")"),"")</f>
        <v/>
      </c>
      <c r="F31" s="16" t="str">
        <f t="shared" ca="1" si="1"/>
        <v/>
      </c>
      <c r="G31" s="16"/>
      <c r="H31" s="22" t="str">
        <f ca="1">IFERROR(__xludf.dummyfunction("iferror(1000+INT(($N$4-(index(split(G31,"":""),1)*60+index(split(G31,"":""),2 )))/0.2+1)*$N$5,"""")"),"")</f>
        <v/>
      </c>
      <c r="I31" s="16" t="str">
        <f t="shared" ca="1" si="2"/>
        <v/>
      </c>
      <c r="J31" s="16" t="str">
        <f t="shared" si="4"/>
        <v/>
      </c>
      <c r="K31" s="16" t="str">
        <f t="shared" si="3"/>
        <v/>
      </c>
      <c r="L31" s="16"/>
    </row>
    <row r="32" spans="1:12" ht="14.5" x14ac:dyDescent="0.35">
      <c r="A32" s="16"/>
      <c r="B32" s="16"/>
      <c r="C32" s="16"/>
      <c r="D32" s="16"/>
      <c r="E32" s="22" t="str">
        <f ca="1">IFERROR(__xludf.dummyfunction("iferror(1000+INT(($N$2-(index(split(D32,"":""),1)*60+index(split(D32,"":""),2 )))/0.2+1)*$N$3,"""")"),"")</f>
        <v/>
      </c>
      <c r="F32" s="16" t="str">
        <f t="shared" ca="1" si="1"/>
        <v/>
      </c>
      <c r="G32" s="16"/>
      <c r="H32" s="22" t="str">
        <f ca="1">IFERROR(__xludf.dummyfunction("iferror(1000+INT(($N$4-(index(split(G32,"":""),1)*60+index(split(G32,"":""),2 )))/0.2+1)*$N$5,"""")"),"")</f>
        <v/>
      </c>
      <c r="I32" s="16" t="str">
        <f t="shared" ca="1" si="2"/>
        <v/>
      </c>
      <c r="J32" s="16" t="str">
        <f t="shared" si="4"/>
        <v/>
      </c>
      <c r="K32" s="16" t="str">
        <f t="shared" si="3"/>
        <v/>
      </c>
      <c r="L32" s="16"/>
    </row>
    <row r="33" spans="1:12" ht="14.5" x14ac:dyDescent="0.35">
      <c r="A33" s="16"/>
      <c r="B33" s="16"/>
      <c r="C33" s="16"/>
      <c r="D33" s="16"/>
      <c r="E33" s="22" t="str">
        <f ca="1">IFERROR(__xludf.dummyfunction("iferror(1000+INT(($N$2-(index(split(D33,"":""),1)*60+index(split(D33,"":""),2 )))/0.2+1)*$N$3,"""")"),"")</f>
        <v/>
      </c>
      <c r="F33" s="16" t="str">
        <f t="shared" ca="1" si="1"/>
        <v/>
      </c>
      <c r="G33" s="16"/>
      <c r="H33" s="22" t="str">
        <f ca="1">IFERROR(__xludf.dummyfunction("iferror(1000+INT(($N$4-(index(split(G33,"":""),1)*60+index(split(G33,"":""),2 )))/0.2+1)*$N$5,"""")"),"")</f>
        <v/>
      </c>
      <c r="I33" s="16" t="str">
        <f t="shared" ca="1" si="2"/>
        <v/>
      </c>
      <c r="J33" s="16" t="str">
        <f t="shared" si="4"/>
        <v/>
      </c>
      <c r="K33" s="16" t="str">
        <f t="shared" si="3"/>
        <v/>
      </c>
      <c r="L33" s="16"/>
    </row>
    <row r="34" spans="1:12" ht="14.5" x14ac:dyDescent="0.35">
      <c r="A34" s="16"/>
      <c r="B34" s="16"/>
      <c r="C34" s="16"/>
      <c r="D34" s="16"/>
      <c r="E34" s="22" t="str">
        <f ca="1">IFERROR(__xludf.dummyfunction("iferror(1000+INT(($N$2-(index(split(D34,"":""),1)*60+index(split(D34,"":""),2 )))/0.2+1)*$N$3,"""")"),"")</f>
        <v/>
      </c>
      <c r="F34" s="16" t="str">
        <f t="shared" ref="F34:F65" ca="1" si="5">IFERROR(_xlfn.RANK.EQ(E34,E:E),"")</f>
        <v/>
      </c>
      <c r="G34" s="16"/>
      <c r="H34" s="22" t="str">
        <f ca="1">IFERROR(__xludf.dummyfunction("iferror(1000+INT(($N$4-(index(split(G34,"":""),1)*60+index(split(G34,"":""),2 )))/0.2+1)*$N$5,"""")"),"")</f>
        <v/>
      </c>
      <c r="I34" s="16" t="str">
        <f t="shared" ref="I34:I65" ca="1" si="6">IFERROR(_xlfn.RANK.EQ(H34,H:H),"")</f>
        <v/>
      </c>
      <c r="J34" s="16" t="str">
        <f t="shared" ref="J34:J65" si="7">IF(AND(D34="", G34=""), "", E34+H34)</f>
        <v/>
      </c>
      <c r="K34" s="16" t="str">
        <f t="shared" ref="K34:K65" si="8">IFERROR(_xlfn.RANK.EQ(J34,J:J),"")</f>
        <v/>
      </c>
      <c r="L34" s="16"/>
    </row>
    <row r="35" spans="1:12" ht="14.5" x14ac:dyDescent="0.35">
      <c r="A35" s="16"/>
      <c r="B35" s="16"/>
      <c r="C35" s="16"/>
      <c r="D35" s="16"/>
      <c r="E35" s="22" t="str">
        <f ca="1">IFERROR(__xludf.dummyfunction("iferror(1000+INT(($N$2-(index(split(D35,"":""),1)*60+index(split(D35,"":""),2 )))/0.2+1)*$N$3,"""")"),"")</f>
        <v/>
      </c>
      <c r="F35" s="16" t="str">
        <f t="shared" ca="1" si="5"/>
        <v/>
      </c>
      <c r="G35" s="16"/>
      <c r="H35" s="22" t="str">
        <f ca="1">IFERROR(__xludf.dummyfunction("iferror(1000+INT(($N$4-(index(split(G35,"":""),1)*60+index(split(G35,"":""),2 )))/0.2+1)*$N$5,"""")"),"")</f>
        <v/>
      </c>
      <c r="I35" s="16" t="str">
        <f t="shared" ca="1" si="6"/>
        <v/>
      </c>
      <c r="J35" s="16" t="str">
        <f t="shared" si="7"/>
        <v/>
      </c>
      <c r="K35" s="16" t="str">
        <f t="shared" si="8"/>
        <v/>
      </c>
      <c r="L35" s="16"/>
    </row>
    <row r="36" spans="1:12" ht="14.5" x14ac:dyDescent="0.35">
      <c r="A36" s="16"/>
      <c r="B36" s="16"/>
      <c r="C36" s="16"/>
      <c r="D36" s="16"/>
      <c r="E36" s="22" t="str">
        <f ca="1">IFERROR(__xludf.dummyfunction("iferror(1000+INT(($N$2-(index(split(D36,"":""),1)*60+index(split(D36,"":""),2 )))/0.2+1)*$N$3,"""")"),"")</f>
        <v/>
      </c>
      <c r="F36" s="16" t="str">
        <f t="shared" ca="1" si="5"/>
        <v/>
      </c>
      <c r="G36" s="16"/>
      <c r="H36" s="22" t="str">
        <f ca="1">IFERROR(__xludf.dummyfunction("iferror(1000+INT(($N$4-(index(split(G36,"":""),1)*60+index(split(G36,"":""),2 )))/0.2+1)*$N$5,"""")"),"")</f>
        <v/>
      </c>
      <c r="I36" s="16" t="str">
        <f t="shared" ca="1" si="6"/>
        <v/>
      </c>
      <c r="J36" s="16" t="str">
        <f t="shared" si="7"/>
        <v/>
      </c>
      <c r="K36" s="16" t="str">
        <f t="shared" si="8"/>
        <v/>
      </c>
      <c r="L36" s="16"/>
    </row>
    <row r="37" spans="1:12" ht="14.5" x14ac:dyDescent="0.35">
      <c r="A37" s="16"/>
      <c r="B37" s="16"/>
      <c r="C37" s="16"/>
      <c r="D37" s="16"/>
      <c r="E37" s="22" t="str">
        <f ca="1">IFERROR(__xludf.dummyfunction("iferror(1000+INT(($N$2-(index(split(D37,"":""),1)*60+index(split(D37,"":""),2 )))/0.2+1)*$N$3,"""")"),"")</f>
        <v/>
      </c>
      <c r="F37" s="16" t="str">
        <f t="shared" ca="1" si="5"/>
        <v/>
      </c>
      <c r="G37" s="16"/>
      <c r="H37" s="22" t="str">
        <f ca="1">IFERROR(__xludf.dummyfunction("iferror(1000+INT(($N$4-(index(split(G37,"":""),1)*60+index(split(G37,"":""),2 )))/0.2+1)*$N$5,"""")"),"")</f>
        <v/>
      </c>
      <c r="I37" s="16" t="str">
        <f t="shared" ca="1" si="6"/>
        <v/>
      </c>
      <c r="J37" s="16" t="str">
        <f t="shared" si="7"/>
        <v/>
      </c>
      <c r="K37" s="16" t="str">
        <f t="shared" si="8"/>
        <v/>
      </c>
      <c r="L37" s="16"/>
    </row>
    <row r="38" spans="1:12" ht="14.5" x14ac:dyDescent="0.35">
      <c r="A38" s="16"/>
      <c r="B38" s="16"/>
      <c r="C38" s="16"/>
      <c r="D38" s="16"/>
      <c r="E38" s="22" t="str">
        <f ca="1">IFERROR(__xludf.dummyfunction("iferror(1000+INT(($N$2-(index(split(D38,"":""),1)*60+index(split(D38,"":""),2 )))/0.2+1)*$N$3,"""")"),"")</f>
        <v/>
      </c>
      <c r="F38" s="16" t="str">
        <f t="shared" ca="1" si="5"/>
        <v/>
      </c>
      <c r="G38" s="16"/>
      <c r="H38" s="22" t="str">
        <f ca="1">IFERROR(__xludf.dummyfunction("iferror(1000+INT(($N$4-(index(split(G38,"":""),1)*60+index(split(G38,"":""),2 )))/0.2+1)*$N$5,"""")"),"")</f>
        <v/>
      </c>
      <c r="I38" s="16" t="str">
        <f t="shared" ca="1" si="6"/>
        <v/>
      </c>
      <c r="J38" s="16" t="str">
        <f t="shared" si="7"/>
        <v/>
      </c>
      <c r="K38" s="16" t="str">
        <f t="shared" si="8"/>
        <v/>
      </c>
      <c r="L38" s="16"/>
    </row>
    <row r="39" spans="1:12" ht="14.5" x14ac:dyDescent="0.35">
      <c r="A39" s="16"/>
      <c r="B39" s="16"/>
      <c r="C39" s="16"/>
      <c r="D39" s="16"/>
      <c r="E39" s="22" t="str">
        <f ca="1">IFERROR(__xludf.dummyfunction("iferror(1000+INT(($N$2-(index(split(D39,"":""),1)*60+index(split(D39,"":""),2 )))/0.2+1)*$N$3,"""")"),"")</f>
        <v/>
      </c>
      <c r="F39" s="16" t="str">
        <f t="shared" ca="1" si="5"/>
        <v/>
      </c>
      <c r="G39" s="16"/>
      <c r="H39" s="22" t="str">
        <f ca="1">IFERROR(__xludf.dummyfunction("iferror(1000+INT(($N$4-(index(split(G39,"":""),1)*60+index(split(G39,"":""),2 )))/0.2+1)*$N$5,"""")"),"")</f>
        <v/>
      </c>
      <c r="I39" s="16" t="str">
        <f t="shared" ca="1" si="6"/>
        <v/>
      </c>
      <c r="J39" s="16" t="str">
        <f t="shared" si="7"/>
        <v/>
      </c>
      <c r="K39" s="16" t="str">
        <f t="shared" si="8"/>
        <v/>
      </c>
      <c r="L39" s="16"/>
    </row>
    <row r="40" spans="1:12" ht="14.5" x14ac:dyDescent="0.35">
      <c r="A40" s="16"/>
      <c r="B40" s="16"/>
      <c r="C40" s="16"/>
      <c r="D40" s="16"/>
      <c r="E40" s="22" t="str">
        <f ca="1">IFERROR(__xludf.dummyfunction("iferror(1000+INT(($N$2-(index(split(D40,"":""),1)*60+index(split(D40,"":""),2 )))/0.2+1)*$N$3,"""")"),"")</f>
        <v/>
      </c>
      <c r="F40" s="16" t="str">
        <f t="shared" ca="1" si="5"/>
        <v/>
      </c>
      <c r="G40" s="16"/>
      <c r="H40" s="22" t="str">
        <f ca="1">IFERROR(__xludf.dummyfunction("iferror(1000+INT(($N$4-(index(split(G40,"":""),1)*60+index(split(G40,"":""),2 )))/0.2+1)*$N$5,"""")"),"")</f>
        <v/>
      </c>
      <c r="I40" s="16" t="str">
        <f t="shared" ca="1" si="6"/>
        <v/>
      </c>
      <c r="J40" s="16" t="str">
        <f t="shared" si="7"/>
        <v/>
      </c>
      <c r="K40" s="16" t="str">
        <f t="shared" si="8"/>
        <v/>
      </c>
      <c r="L40" s="16"/>
    </row>
    <row r="41" spans="1:12" ht="14.5" x14ac:dyDescent="0.35">
      <c r="A41" s="16"/>
      <c r="B41" s="16"/>
      <c r="C41" s="16"/>
      <c r="D41" s="16"/>
      <c r="E41" s="22" t="str">
        <f ca="1">IFERROR(__xludf.dummyfunction("iferror(1000+INT(($N$2-(index(split(D41,"":""),1)*60+index(split(D41,"":""),2 )))/0.2+1)*$N$3,"""")"),"")</f>
        <v/>
      </c>
      <c r="F41" s="16" t="str">
        <f t="shared" ca="1" si="5"/>
        <v/>
      </c>
      <c r="G41" s="16"/>
      <c r="H41" s="22" t="str">
        <f ca="1">IFERROR(__xludf.dummyfunction("iferror(1000+INT(($N$4-(index(split(G41,"":""),1)*60+index(split(G41,"":""),2 )))/0.2+1)*$N$5,"""")"),"")</f>
        <v/>
      </c>
      <c r="I41" s="16" t="str">
        <f t="shared" ca="1" si="6"/>
        <v/>
      </c>
      <c r="J41" s="16" t="str">
        <f t="shared" si="7"/>
        <v/>
      </c>
      <c r="K41" s="16" t="str">
        <f t="shared" si="8"/>
        <v/>
      </c>
      <c r="L41" s="16"/>
    </row>
    <row r="42" spans="1:12" ht="14.5" x14ac:dyDescent="0.35">
      <c r="A42" s="16"/>
      <c r="B42" s="16"/>
      <c r="C42" s="16"/>
      <c r="D42" s="16"/>
      <c r="E42" s="22" t="str">
        <f ca="1">IFERROR(__xludf.dummyfunction("iferror(1000+INT(($N$2-(index(split(D42,"":""),1)*60+index(split(D42,"":""),2 )))/0.2+1)*$N$3,"""")"),"")</f>
        <v/>
      </c>
      <c r="F42" s="16" t="str">
        <f t="shared" ca="1" si="5"/>
        <v/>
      </c>
      <c r="G42" s="16"/>
      <c r="H42" s="22" t="str">
        <f ca="1">IFERROR(__xludf.dummyfunction("iferror(1000+INT(($N$4-(index(split(G42,"":""),1)*60+index(split(G42,"":""),2 )))/0.2+1)*$N$5,"""")"),"")</f>
        <v/>
      </c>
      <c r="I42" s="16" t="str">
        <f t="shared" ca="1" si="6"/>
        <v/>
      </c>
      <c r="J42" s="16" t="str">
        <f t="shared" si="7"/>
        <v/>
      </c>
      <c r="K42" s="16" t="str">
        <f t="shared" si="8"/>
        <v/>
      </c>
      <c r="L42" s="16"/>
    </row>
    <row r="43" spans="1:12" ht="14.5" x14ac:dyDescent="0.35">
      <c r="A43" s="16"/>
      <c r="B43" s="16"/>
      <c r="C43" s="16"/>
      <c r="D43" s="16"/>
      <c r="E43" s="22" t="str">
        <f ca="1">IFERROR(__xludf.dummyfunction("iferror(1000+INT(($N$2-(index(split(D43,"":""),1)*60+index(split(D43,"":""),2 )))/0.2+1)*$N$3,"""")"),"")</f>
        <v/>
      </c>
      <c r="F43" s="16" t="str">
        <f t="shared" ca="1" si="5"/>
        <v/>
      </c>
      <c r="G43" s="16"/>
      <c r="H43" s="22" t="str">
        <f ca="1">IFERROR(__xludf.dummyfunction("iferror(1000+INT(($N$4-(index(split(G43,"":""),1)*60+index(split(G43,"":""),2 )))/0.2+1)*$N$5,"""")"),"")</f>
        <v/>
      </c>
      <c r="I43" s="16" t="str">
        <f t="shared" ca="1" si="6"/>
        <v/>
      </c>
      <c r="J43" s="16" t="str">
        <f t="shared" si="7"/>
        <v/>
      </c>
      <c r="K43" s="16" t="str">
        <f t="shared" si="8"/>
        <v/>
      </c>
      <c r="L43" s="16"/>
    </row>
    <row r="44" spans="1:12" ht="14.5" x14ac:dyDescent="0.35">
      <c r="A44" s="16"/>
      <c r="B44" s="16"/>
      <c r="C44" s="16"/>
      <c r="D44" s="16"/>
      <c r="E44" s="22" t="str">
        <f ca="1">IFERROR(__xludf.dummyfunction("iferror(1000+INT(($N$2-(index(split(D44,"":""),1)*60+index(split(D44,"":""),2 )))/0.2+1)*$N$3,"""")"),"")</f>
        <v/>
      </c>
      <c r="F44" s="16" t="str">
        <f t="shared" ca="1" si="5"/>
        <v/>
      </c>
      <c r="G44" s="16"/>
      <c r="H44" s="22" t="str">
        <f ca="1">IFERROR(__xludf.dummyfunction("iferror(1000+INT(($N$4-(index(split(G44,"":""),1)*60+index(split(G44,"":""),2 )))/0.2+1)*$N$5,"""")"),"")</f>
        <v/>
      </c>
      <c r="I44" s="16" t="str">
        <f t="shared" ca="1" si="6"/>
        <v/>
      </c>
      <c r="J44" s="16" t="str">
        <f t="shared" si="7"/>
        <v/>
      </c>
      <c r="K44" s="16" t="str">
        <f t="shared" si="8"/>
        <v/>
      </c>
      <c r="L44" s="16"/>
    </row>
    <row r="45" spans="1:12" ht="14.5" x14ac:dyDescent="0.35">
      <c r="A45" s="16"/>
      <c r="B45" s="16"/>
      <c r="C45" s="16"/>
      <c r="D45" s="16"/>
      <c r="E45" s="22" t="str">
        <f ca="1">IFERROR(__xludf.dummyfunction("iferror(1000+INT(($N$2-(index(split(D45,"":""),1)*60+index(split(D45,"":""),2 )))/0.2+1)*$N$3,"""")"),"")</f>
        <v/>
      </c>
      <c r="F45" s="16" t="str">
        <f t="shared" ca="1" si="5"/>
        <v/>
      </c>
      <c r="G45" s="16"/>
      <c r="H45" s="22" t="str">
        <f ca="1">IFERROR(__xludf.dummyfunction("iferror(1000+INT(($N$4-(index(split(G45,"":""),1)*60+index(split(G45,"":""),2 )))/0.2+1)*$N$5,"""")"),"")</f>
        <v/>
      </c>
      <c r="I45" s="16" t="str">
        <f t="shared" ca="1" si="6"/>
        <v/>
      </c>
      <c r="J45" s="16" t="str">
        <f t="shared" si="7"/>
        <v/>
      </c>
      <c r="K45" s="16" t="str">
        <f t="shared" si="8"/>
        <v/>
      </c>
      <c r="L45" s="16"/>
    </row>
    <row r="46" spans="1:12" ht="14.5" x14ac:dyDescent="0.35">
      <c r="A46" s="16"/>
      <c r="B46" s="16"/>
      <c r="C46" s="16"/>
      <c r="D46" s="16"/>
      <c r="E46" s="22" t="str">
        <f ca="1">IFERROR(__xludf.dummyfunction("iferror(1000+INT(($N$2-(index(split(D46,"":""),1)*60+index(split(D46,"":""),2 )))/0.2+1)*$N$3,"""")"),"")</f>
        <v/>
      </c>
      <c r="F46" s="16" t="str">
        <f t="shared" ca="1" si="5"/>
        <v/>
      </c>
      <c r="G46" s="16"/>
      <c r="H46" s="22" t="str">
        <f ca="1">IFERROR(__xludf.dummyfunction("iferror(1000+INT(($N$4-(index(split(G46,"":""),1)*60+index(split(G46,"":""),2 )))/0.2+1)*$N$5,"""")"),"")</f>
        <v/>
      </c>
      <c r="I46" s="16" t="str">
        <f t="shared" ca="1" si="6"/>
        <v/>
      </c>
      <c r="J46" s="16" t="str">
        <f t="shared" si="7"/>
        <v/>
      </c>
      <c r="K46" s="16" t="str">
        <f t="shared" si="8"/>
        <v/>
      </c>
      <c r="L46" s="16"/>
    </row>
    <row r="47" spans="1:12" ht="14.5" x14ac:dyDescent="0.35">
      <c r="A47" s="16"/>
      <c r="B47" s="16"/>
      <c r="C47" s="16"/>
      <c r="D47" s="16"/>
      <c r="E47" s="22" t="str">
        <f ca="1">IFERROR(__xludf.dummyfunction("iferror(1000+INT(($N$2-(index(split(D47,"":""),1)*60+index(split(D47,"":""),2 )))/0.2+1)*$N$3,"""")"),"")</f>
        <v/>
      </c>
      <c r="F47" s="16" t="str">
        <f t="shared" ca="1" si="5"/>
        <v/>
      </c>
      <c r="G47" s="16"/>
      <c r="H47" s="22" t="str">
        <f ca="1">IFERROR(__xludf.dummyfunction("iferror(1000+INT(($N$4-(index(split(G47,"":""),1)*60+index(split(G47,"":""),2 )))/0.2+1)*$N$5,"""")"),"")</f>
        <v/>
      </c>
      <c r="I47" s="16" t="str">
        <f t="shared" ca="1" si="6"/>
        <v/>
      </c>
      <c r="J47" s="16" t="str">
        <f t="shared" si="7"/>
        <v/>
      </c>
      <c r="K47" s="16" t="str">
        <f t="shared" si="8"/>
        <v/>
      </c>
      <c r="L47" s="16"/>
    </row>
    <row r="48" spans="1:12" ht="14.5" x14ac:dyDescent="0.35">
      <c r="A48" s="16"/>
      <c r="B48" s="16"/>
      <c r="C48" s="16"/>
      <c r="D48" s="16"/>
      <c r="E48" s="22" t="str">
        <f ca="1">IFERROR(__xludf.dummyfunction("iferror(1000+INT(($N$2-(index(split(D48,"":""),1)*60+index(split(D48,"":""),2 )))/0.2+1)*$N$3,"""")"),"")</f>
        <v/>
      </c>
      <c r="F48" s="16" t="str">
        <f t="shared" ca="1" si="5"/>
        <v/>
      </c>
      <c r="G48" s="16"/>
      <c r="H48" s="22" t="str">
        <f ca="1">IFERROR(__xludf.dummyfunction("iferror(1000+INT(($N$4-(index(split(G48,"":""),1)*60+index(split(G48,"":""),2 )))/0.2+1)*$N$5,"""")"),"")</f>
        <v/>
      </c>
      <c r="I48" s="16" t="str">
        <f t="shared" ca="1" si="6"/>
        <v/>
      </c>
      <c r="J48" s="16" t="str">
        <f t="shared" si="7"/>
        <v/>
      </c>
      <c r="K48" s="16" t="str">
        <f t="shared" si="8"/>
        <v/>
      </c>
      <c r="L48" s="16"/>
    </row>
    <row r="49" spans="1:12" ht="14.5" x14ac:dyDescent="0.35">
      <c r="A49" s="16"/>
      <c r="B49" s="16"/>
      <c r="C49" s="16"/>
      <c r="D49" s="16"/>
      <c r="E49" s="22" t="str">
        <f ca="1">IFERROR(__xludf.dummyfunction("iferror(1000+INT(($N$2-(index(split(D49,"":""),1)*60+index(split(D49,"":""),2 )))/0.2+1)*$N$3,"""")"),"")</f>
        <v/>
      </c>
      <c r="F49" s="16" t="str">
        <f t="shared" ca="1" si="5"/>
        <v/>
      </c>
      <c r="G49" s="16"/>
      <c r="H49" s="22" t="str">
        <f ca="1">IFERROR(__xludf.dummyfunction("iferror(1000+INT(($N$4-(index(split(G49,"":""),1)*60+index(split(G49,"":""),2 )))/0.2+1)*$N$5,"""")"),"")</f>
        <v/>
      </c>
      <c r="I49" s="16" t="str">
        <f t="shared" ca="1" si="6"/>
        <v/>
      </c>
      <c r="J49" s="16" t="str">
        <f t="shared" si="7"/>
        <v/>
      </c>
      <c r="K49" s="16" t="str">
        <f t="shared" si="8"/>
        <v/>
      </c>
      <c r="L49" s="16"/>
    </row>
    <row r="50" spans="1:12" ht="14.5" x14ac:dyDescent="0.35">
      <c r="A50" s="16"/>
      <c r="B50" s="16"/>
      <c r="C50" s="16"/>
      <c r="D50" s="16"/>
      <c r="E50" s="22" t="str">
        <f ca="1">IFERROR(__xludf.dummyfunction("iferror(1000+INT(($N$2-(index(split(D50,"":""),1)*60+index(split(D50,"":""),2 )))/0.2+1)*$N$3,"""")"),"")</f>
        <v/>
      </c>
      <c r="F50" s="16" t="str">
        <f t="shared" ca="1" si="5"/>
        <v/>
      </c>
      <c r="G50" s="16"/>
      <c r="H50" s="22" t="str">
        <f ca="1">IFERROR(__xludf.dummyfunction("iferror(1000+INT(($N$4-(index(split(G50,"":""),1)*60+index(split(G50,"":""),2 )))/0.2+1)*$N$5,"""")"),"")</f>
        <v/>
      </c>
      <c r="I50" s="16" t="str">
        <f t="shared" ca="1" si="6"/>
        <v/>
      </c>
      <c r="J50" s="16" t="str">
        <f t="shared" si="7"/>
        <v/>
      </c>
      <c r="K50" s="16" t="str">
        <f t="shared" si="8"/>
        <v/>
      </c>
      <c r="L50" s="16"/>
    </row>
    <row r="51" spans="1:12" ht="14.5" x14ac:dyDescent="0.35">
      <c r="A51" s="16"/>
      <c r="B51" s="16"/>
      <c r="C51" s="16"/>
      <c r="D51" s="16"/>
      <c r="E51" s="22" t="str">
        <f ca="1">IFERROR(__xludf.dummyfunction("iferror(1000+INT(($N$2-(index(split(D51,"":""),1)*60+index(split(D51,"":""),2 )))/0.2+1)*$N$3,"""")"),"")</f>
        <v/>
      </c>
      <c r="F51" s="16" t="str">
        <f t="shared" ca="1" si="5"/>
        <v/>
      </c>
      <c r="G51" s="16"/>
      <c r="H51" s="22" t="str">
        <f ca="1">IFERROR(__xludf.dummyfunction("iferror(1000+INT(($N$4-(index(split(G51,"":""),1)*60+index(split(G51,"":""),2 )))/0.2+1)*$N$5,"""")"),"")</f>
        <v/>
      </c>
      <c r="I51" s="16" t="str">
        <f t="shared" ca="1" si="6"/>
        <v/>
      </c>
      <c r="J51" s="16" t="str">
        <f t="shared" si="7"/>
        <v/>
      </c>
      <c r="K51" s="16" t="str">
        <f t="shared" si="8"/>
        <v/>
      </c>
      <c r="L51" s="16"/>
    </row>
    <row r="52" spans="1:12" ht="14.5" x14ac:dyDescent="0.35">
      <c r="A52" s="16"/>
      <c r="B52" s="16"/>
      <c r="C52" s="16"/>
      <c r="D52" s="16"/>
      <c r="E52" s="22" t="str">
        <f ca="1">IFERROR(__xludf.dummyfunction("iferror(1000+INT(($N$2-(index(split(D52,"":""),1)*60+index(split(D52,"":""),2 )))/0.2+1)*$N$3,"""")"),"")</f>
        <v/>
      </c>
      <c r="F52" s="16" t="str">
        <f t="shared" ca="1" si="5"/>
        <v/>
      </c>
      <c r="G52" s="16"/>
      <c r="H52" s="22" t="str">
        <f ca="1">IFERROR(__xludf.dummyfunction("iferror(1000+INT(($N$4-(index(split(G52,"":""),1)*60+index(split(G52,"":""),2 )))/0.2+1)*$N$5,"""")"),"")</f>
        <v/>
      </c>
      <c r="I52" s="16" t="str">
        <f t="shared" ca="1" si="6"/>
        <v/>
      </c>
      <c r="J52" s="16" t="str">
        <f t="shared" si="7"/>
        <v/>
      </c>
      <c r="K52" s="16" t="str">
        <f t="shared" si="8"/>
        <v/>
      </c>
      <c r="L52" s="16"/>
    </row>
    <row r="53" spans="1:12" ht="14.5" x14ac:dyDescent="0.35">
      <c r="A53" s="16"/>
      <c r="B53" s="16"/>
      <c r="C53" s="16"/>
      <c r="D53" s="16"/>
      <c r="E53" s="22" t="str">
        <f ca="1">IFERROR(__xludf.dummyfunction("iferror(1000+INT(($N$2-(index(split(D53,"":""),1)*60+index(split(D53,"":""),2 )))/0.2+1)*$N$3,"""")"),"")</f>
        <v/>
      </c>
      <c r="F53" s="16" t="str">
        <f t="shared" ca="1" si="5"/>
        <v/>
      </c>
      <c r="G53" s="16"/>
      <c r="H53" s="22" t="str">
        <f ca="1">IFERROR(__xludf.dummyfunction("iferror(1000+INT(($N$4-(index(split(G53,"":""),1)*60+index(split(G53,"":""),2 )))/0.2+1)*$N$5,"""")"),"")</f>
        <v/>
      </c>
      <c r="I53" s="16" t="str">
        <f t="shared" ca="1" si="6"/>
        <v/>
      </c>
      <c r="J53" s="16" t="str">
        <f t="shared" si="7"/>
        <v/>
      </c>
      <c r="K53" s="16" t="str">
        <f t="shared" si="8"/>
        <v/>
      </c>
      <c r="L53" s="16"/>
    </row>
    <row r="54" spans="1:12" ht="14.5" x14ac:dyDescent="0.35">
      <c r="A54" s="16"/>
      <c r="B54" s="16"/>
      <c r="C54" s="16"/>
      <c r="D54" s="16"/>
      <c r="E54" s="22" t="str">
        <f ca="1">IFERROR(__xludf.dummyfunction("iferror(1000+INT(($N$2-(index(split(D54,"":""),1)*60+index(split(D54,"":""),2 )))/0.2+1)*$N$3,"""")"),"")</f>
        <v/>
      </c>
      <c r="F54" s="16" t="str">
        <f t="shared" ca="1" si="5"/>
        <v/>
      </c>
      <c r="G54" s="16"/>
      <c r="H54" s="22" t="str">
        <f ca="1">IFERROR(__xludf.dummyfunction("iferror(1000+INT(($N$4-(index(split(G54,"":""),1)*60+index(split(G54,"":""),2 )))/0.2+1)*$N$5,"""")"),"")</f>
        <v/>
      </c>
      <c r="I54" s="16" t="str">
        <f t="shared" ca="1" si="6"/>
        <v/>
      </c>
      <c r="J54" s="16" t="str">
        <f t="shared" si="7"/>
        <v/>
      </c>
      <c r="K54" s="16" t="str">
        <f t="shared" si="8"/>
        <v/>
      </c>
      <c r="L54" s="16"/>
    </row>
    <row r="55" spans="1:12" ht="14.5" x14ac:dyDescent="0.35">
      <c r="A55" s="16"/>
      <c r="B55" s="16"/>
      <c r="C55" s="16"/>
      <c r="D55" s="16"/>
      <c r="E55" s="22" t="str">
        <f ca="1">IFERROR(__xludf.dummyfunction("iferror(1000+INT(($N$2-(index(split(D55,"":""),1)*60+index(split(D55,"":""),2 )))/0.2+1)*$N$3,"""")"),"")</f>
        <v/>
      </c>
      <c r="F55" s="16" t="str">
        <f t="shared" ca="1" si="5"/>
        <v/>
      </c>
      <c r="G55" s="16"/>
      <c r="H55" s="22" t="str">
        <f ca="1">IFERROR(__xludf.dummyfunction("iferror(1000+INT(($N$4-(index(split(G55,"":""),1)*60+index(split(G55,"":""),2 )))/0.2+1)*$N$5,"""")"),"")</f>
        <v/>
      </c>
      <c r="I55" s="16" t="str">
        <f t="shared" ca="1" si="6"/>
        <v/>
      </c>
      <c r="J55" s="16" t="str">
        <f t="shared" si="7"/>
        <v/>
      </c>
      <c r="K55" s="16" t="str">
        <f t="shared" si="8"/>
        <v/>
      </c>
      <c r="L55" s="16"/>
    </row>
    <row r="56" spans="1:12" ht="14.5" x14ac:dyDescent="0.35">
      <c r="A56" s="16"/>
      <c r="B56" s="16"/>
      <c r="C56" s="16"/>
      <c r="D56" s="16"/>
      <c r="E56" s="22" t="str">
        <f ca="1">IFERROR(__xludf.dummyfunction("iferror(1000+INT(($N$2-(index(split(D56,"":""),1)*60+index(split(D56,"":""),2 )))/0.2+1)*$N$3,"""")"),"")</f>
        <v/>
      </c>
      <c r="F56" s="16" t="str">
        <f t="shared" ca="1" si="5"/>
        <v/>
      </c>
      <c r="G56" s="16"/>
      <c r="H56" s="22" t="str">
        <f ca="1">IFERROR(__xludf.dummyfunction("iferror(1000+INT(($N$4-(index(split(G56,"":""),1)*60+index(split(G56,"":""),2 )))/0.2+1)*$N$5,"""")"),"")</f>
        <v/>
      </c>
      <c r="I56" s="16" t="str">
        <f t="shared" ca="1" si="6"/>
        <v/>
      </c>
      <c r="J56" s="16" t="str">
        <f t="shared" si="7"/>
        <v/>
      </c>
      <c r="K56" s="16" t="str">
        <f t="shared" si="8"/>
        <v/>
      </c>
      <c r="L56" s="16"/>
    </row>
    <row r="57" spans="1:12" ht="14.5" x14ac:dyDescent="0.35">
      <c r="A57" s="16"/>
      <c r="B57" s="16"/>
      <c r="C57" s="16"/>
      <c r="D57" s="16"/>
      <c r="E57" s="22" t="str">
        <f ca="1">IFERROR(__xludf.dummyfunction("iferror(1000+INT(($N$2-(index(split(D57,"":""),1)*60+index(split(D57,"":""),2 )))/0.2+1)*$N$3,"""")"),"")</f>
        <v/>
      </c>
      <c r="F57" s="16" t="str">
        <f t="shared" ca="1" si="5"/>
        <v/>
      </c>
      <c r="G57" s="16"/>
      <c r="H57" s="22" t="str">
        <f ca="1">IFERROR(__xludf.dummyfunction("iferror(1000+INT(($N$4-(index(split(G57,"":""),1)*60+index(split(G57,"":""),2 )))/0.2+1)*$N$5,"""")"),"")</f>
        <v/>
      </c>
      <c r="I57" s="16" t="str">
        <f t="shared" ca="1" si="6"/>
        <v/>
      </c>
      <c r="J57" s="16" t="str">
        <f t="shared" si="7"/>
        <v/>
      </c>
      <c r="K57" s="16" t="str">
        <f t="shared" si="8"/>
        <v/>
      </c>
      <c r="L57" s="16"/>
    </row>
    <row r="58" spans="1:12" ht="14.5" x14ac:dyDescent="0.35">
      <c r="A58" s="16"/>
      <c r="B58" s="16"/>
      <c r="C58" s="16"/>
      <c r="D58" s="16"/>
      <c r="E58" s="22" t="str">
        <f ca="1">IFERROR(__xludf.dummyfunction("iferror(1000+INT(($N$2-(index(split(D58,"":""),1)*60+index(split(D58,"":""),2 )))/0.2+1)*$N$3,"""")"),"")</f>
        <v/>
      </c>
      <c r="F58" s="16" t="str">
        <f t="shared" ca="1" si="5"/>
        <v/>
      </c>
      <c r="G58" s="16"/>
      <c r="H58" s="22" t="str">
        <f ca="1">IFERROR(__xludf.dummyfunction("iferror(1000+INT(($N$4-(index(split(G58,"":""),1)*60+index(split(G58,"":""),2 )))/0.2+1)*$N$5,"""")"),"")</f>
        <v/>
      </c>
      <c r="I58" s="16" t="str">
        <f t="shared" ca="1" si="6"/>
        <v/>
      </c>
      <c r="J58" s="16" t="str">
        <f t="shared" si="7"/>
        <v/>
      </c>
      <c r="K58" s="16" t="str">
        <f t="shared" si="8"/>
        <v/>
      </c>
      <c r="L58" s="16"/>
    </row>
    <row r="59" spans="1:12" ht="14.5" x14ac:dyDescent="0.35">
      <c r="A59" s="16"/>
      <c r="B59" s="16"/>
      <c r="C59" s="16"/>
      <c r="D59" s="16"/>
      <c r="E59" s="22" t="str">
        <f ca="1">IFERROR(__xludf.dummyfunction("iferror(1000+INT(($N$2-(index(split(D59,"":""),1)*60+index(split(D59,"":""),2 )))/0.2+1)*$N$3,"""")"),"")</f>
        <v/>
      </c>
      <c r="F59" s="16" t="str">
        <f t="shared" ca="1" si="5"/>
        <v/>
      </c>
      <c r="G59" s="16"/>
      <c r="H59" s="22" t="str">
        <f ca="1">IFERROR(__xludf.dummyfunction("iferror(1000+INT(($N$4-(index(split(G59,"":""),1)*60+index(split(G59,"":""),2 )))/0.2+1)*$N$5,"""")"),"")</f>
        <v/>
      </c>
      <c r="I59" s="16" t="str">
        <f t="shared" ca="1" si="6"/>
        <v/>
      </c>
      <c r="J59" s="16" t="str">
        <f t="shared" si="7"/>
        <v/>
      </c>
      <c r="K59" s="16" t="str">
        <f t="shared" si="8"/>
        <v/>
      </c>
      <c r="L59" s="16"/>
    </row>
    <row r="60" spans="1:12" ht="14.5" x14ac:dyDescent="0.35">
      <c r="A60" s="16"/>
      <c r="B60" s="16"/>
      <c r="C60" s="16"/>
      <c r="D60" s="16"/>
      <c r="E60" s="22" t="str">
        <f ca="1">IFERROR(__xludf.dummyfunction("iferror(1000+INT(($N$2-(index(split(D60,"":""),1)*60+index(split(D60,"":""),2 )))/0.2+1)*$N$3,"""")"),"")</f>
        <v/>
      </c>
      <c r="F60" s="16" t="str">
        <f t="shared" ca="1" si="5"/>
        <v/>
      </c>
      <c r="G60" s="16"/>
      <c r="H60" s="22" t="str">
        <f ca="1">IFERROR(__xludf.dummyfunction("iferror(1000+INT(($N$4-(index(split(G60,"":""),1)*60+index(split(G60,"":""),2 )))/0.2+1)*$N$5,"""")"),"")</f>
        <v/>
      </c>
      <c r="I60" s="16" t="str">
        <f t="shared" ca="1" si="6"/>
        <v/>
      </c>
      <c r="J60" s="16" t="str">
        <f t="shared" si="7"/>
        <v/>
      </c>
      <c r="K60" s="16" t="str">
        <f t="shared" si="8"/>
        <v/>
      </c>
      <c r="L60" s="16"/>
    </row>
    <row r="61" spans="1:12" ht="14.5" x14ac:dyDescent="0.35">
      <c r="A61" s="16"/>
      <c r="B61" s="16"/>
      <c r="C61" s="16"/>
      <c r="D61" s="16"/>
      <c r="E61" s="22" t="str">
        <f ca="1">IFERROR(__xludf.dummyfunction("iferror(1000+INT(($N$2-(index(split(D61,"":""),1)*60+index(split(D61,"":""),2 )))/0.2+1)*$N$3,"""")"),"")</f>
        <v/>
      </c>
      <c r="F61" s="16" t="str">
        <f t="shared" ca="1" si="5"/>
        <v/>
      </c>
      <c r="G61" s="16"/>
      <c r="H61" s="22" t="str">
        <f ca="1">IFERROR(__xludf.dummyfunction("iferror(1000+INT(($N$4-(index(split(G61,"":""),1)*60+index(split(G61,"":""),2 )))/0.2+1)*$N$5,"""")"),"")</f>
        <v/>
      </c>
      <c r="I61" s="16" t="str">
        <f t="shared" ca="1" si="6"/>
        <v/>
      </c>
      <c r="J61" s="16" t="str">
        <f t="shared" si="7"/>
        <v/>
      </c>
      <c r="K61" s="16" t="str">
        <f t="shared" si="8"/>
        <v/>
      </c>
      <c r="L61" s="16"/>
    </row>
    <row r="62" spans="1:12" ht="14.5" x14ac:dyDescent="0.35">
      <c r="A62" s="16"/>
      <c r="B62" s="16"/>
      <c r="C62" s="16"/>
      <c r="D62" s="16"/>
      <c r="E62" s="22" t="str">
        <f ca="1">IFERROR(__xludf.dummyfunction("iferror(1000+INT(($N$2-(index(split(D62,"":""),1)*60+index(split(D62,"":""),2 )))/0.2+1)*$N$3,"""")"),"")</f>
        <v/>
      </c>
      <c r="F62" s="16" t="str">
        <f t="shared" ca="1" si="5"/>
        <v/>
      </c>
      <c r="G62" s="16"/>
      <c r="H62" s="22" t="str">
        <f ca="1">IFERROR(__xludf.dummyfunction("iferror(1000+INT(($N$4-(index(split(G62,"":""),1)*60+index(split(G62,"":""),2 )))/0.2+1)*$N$5,"""")"),"")</f>
        <v/>
      </c>
      <c r="I62" s="16" t="str">
        <f t="shared" ca="1" si="6"/>
        <v/>
      </c>
      <c r="J62" s="16" t="str">
        <f t="shared" si="7"/>
        <v/>
      </c>
      <c r="K62" s="16" t="str">
        <f t="shared" si="8"/>
        <v/>
      </c>
      <c r="L62" s="16"/>
    </row>
    <row r="63" spans="1:12" ht="14.5" x14ac:dyDescent="0.35">
      <c r="A63" s="16"/>
      <c r="B63" s="16"/>
      <c r="C63" s="16"/>
      <c r="D63" s="16"/>
      <c r="E63" s="22" t="str">
        <f ca="1">IFERROR(__xludf.dummyfunction("iferror(1000+INT(($N$2-(index(split(D63,"":""),1)*60+index(split(D63,"":""),2 )))/0.2+1)*$N$3,"""")"),"")</f>
        <v/>
      </c>
      <c r="F63" s="16" t="str">
        <f t="shared" ca="1" si="5"/>
        <v/>
      </c>
      <c r="G63" s="16"/>
      <c r="H63" s="22" t="str">
        <f ca="1">IFERROR(__xludf.dummyfunction("iferror(1000+INT(($N$4-(index(split(G63,"":""),1)*60+index(split(G63,"":""),2 )))/0.2+1)*$N$5,"""")"),"")</f>
        <v/>
      </c>
      <c r="I63" s="16" t="str">
        <f t="shared" ca="1" si="6"/>
        <v/>
      </c>
      <c r="J63" s="16" t="str">
        <f t="shared" si="7"/>
        <v/>
      </c>
      <c r="K63" s="16" t="str">
        <f t="shared" si="8"/>
        <v/>
      </c>
      <c r="L63" s="16"/>
    </row>
    <row r="64" spans="1:12" ht="14.5" x14ac:dyDescent="0.35">
      <c r="A64" s="16"/>
      <c r="B64" s="16"/>
      <c r="C64" s="16"/>
      <c r="D64" s="16"/>
      <c r="E64" s="22" t="str">
        <f ca="1">IFERROR(__xludf.dummyfunction("iferror(1000+INT(($N$2-(index(split(D64,"":""),1)*60+index(split(D64,"":""),2 )))/0.2+1)*$N$3,"""")"),"")</f>
        <v/>
      </c>
      <c r="F64" s="16" t="str">
        <f t="shared" ca="1" si="5"/>
        <v/>
      </c>
      <c r="G64" s="16"/>
      <c r="H64" s="22" t="str">
        <f ca="1">IFERROR(__xludf.dummyfunction("iferror(1000+INT(($N$4-(index(split(G64,"":""),1)*60+index(split(G64,"":""),2 )))/0.2+1)*$N$5,"""")"),"")</f>
        <v/>
      </c>
      <c r="I64" s="16" t="str">
        <f t="shared" ca="1" si="6"/>
        <v/>
      </c>
      <c r="J64" s="16" t="str">
        <f t="shared" si="7"/>
        <v/>
      </c>
      <c r="K64" s="16" t="str">
        <f t="shared" si="8"/>
        <v/>
      </c>
      <c r="L64" s="16"/>
    </row>
    <row r="65" spans="1:12" ht="14.5" x14ac:dyDescent="0.35">
      <c r="A65" s="16"/>
      <c r="B65" s="16"/>
      <c r="C65" s="16"/>
      <c r="D65" s="16"/>
      <c r="E65" s="22" t="str">
        <f ca="1">IFERROR(__xludf.dummyfunction("iferror(1000+INT(($N$2-(index(split(D65,"":""),1)*60+index(split(D65,"":""),2 )))/0.2+1)*$N$3,"""")"),"")</f>
        <v/>
      </c>
      <c r="F65" s="16" t="str">
        <f t="shared" ca="1" si="5"/>
        <v/>
      </c>
      <c r="G65" s="16"/>
      <c r="H65" s="22" t="str">
        <f ca="1">IFERROR(__xludf.dummyfunction("iferror(1000+INT(($N$4-(index(split(G65,"":""),1)*60+index(split(G65,"":""),2 )))/0.2+1)*$N$5,"""")"),"")</f>
        <v/>
      </c>
      <c r="I65" s="16" t="str">
        <f t="shared" ca="1" si="6"/>
        <v/>
      </c>
      <c r="J65" s="16" t="str">
        <f t="shared" si="7"/>
        <v/>
      </c>
      <c r="K65" s="16" t="str">
        <f t="shared" si="8"/>
        <v/>
      </c>
      <c r="L65" s="16"/>
    </row>
    <row r="66" spans="1:12" ht="14.5" x14ac:dyDescent="0.35">
      <c r="A66" s="16"/>
      <c r="B66" s="16"/>
      <c r="C66" s="16"/>
      <c r="D66" s="16"/>
      <c r="E66" s="22" t="str">
        <f ca="1">IFERROR(__xludf.dummyfunction("iferror(1000+INT(($N$2-(index(split(D66,"":""),1)*60+index(split(D66,"":""),2 )))/0.2+1)*$N$3,"""")"),"")</f>
        <v/>
      </c>
      <c r="F66" s="16" t="str">
        <f t="shared" ref="F66:F97" ca="1" si="9">IFERROR(_xlfn.RANK.EQ(E66,E:E),"")</f>
        <v/>
      </c>
      <c r="G66" s="16"/>
      <c r="H66" s="22" t="str">
        <f ca="1">IFERROR(__xludf.dummyfunction("iferror(1000+INT(($N$4-(index(split(G66,"":""),1)*60+index(split(G66,"":""),2 )))/0.2+1)*$N$5,"""")"),"")</f>
        <v/>
      </c>
      <c r="I66" s="16" t="str">
        <f t="shared" ref="I66:I97" ca="1" si="10">IFERROR(_xlfn.RANK.EQ(H66,H:H),"")</f>
        <v/>
      </c>
      <c r="J66" s="16" t="str">
        <f t="shared" ref="J66:J100" si="11">IF(AND(D66="", G66=""), "", E66+H66)</f>
        <v/>
      </c>
      <c r="K66" s="16" t="str">
        <f t="shared" ref="K66:K97" si="12">IFERROR(_xlfn.RANK.EQ(J66,J:J),"")</f>
        <v/>
      </c>
      <c r="L66" s="16"/>
    </row>
    <row r="67" spans="1:12" ht="14.5" x14ac:dyDescent="0.35">
      <c r="A67" s="16"/>
      <c r="B67" s="16"/>
      <c r="C67" s="16"/>
      <c r="D67" s="16"/>
      <c r="E67" s="22" t="str">
        <f ca="1">IFERROR(__xludf.dummyfunction("iferror(1000+INT(($N$2-(index(split(D67,"":""),1)*60+index(split(D67,"":""),2 )))/0.2+1)*$N$3,"""")"),"")</f>
        <v/>
      </c>
      <c r="F67" s="16" t="str">
        <f t="shared" ca="1" si="9"/>
        <v/>
      </c>
      <c r="G67" s="16"/>
      <c r="H67" s="22" t="str">
        <f ca="1">IFERROR(__xludf.dummyfunction("iferror(1000+INT(($N$4-(index(split(G67,"":""),1)*60+index(split(G67,"":""),2 )))/0.2+1)*$N$5,"""")"),"")</f>
        <v/>
      </c>
      <c r="I67" s="16" t="str">
        <f t="shared" ca="1" si="10"/>
        <v/>
      </c>
      <c r="J67" s="16" t="str">
        <f t="shared" si="11"/>
        <v/>
      </c>
      <c r="K67" s="16" t="str">
        <f t="shared" si="12"/>
        <v/>
      </c>
      <c r="L67" s="16"/>
    </row>
    <row r="68" spans="1:12" ht="14.5" x14ac:dyDescent="0.35">
      <c r="A68" s="16"/>
      <c r="B68" s="16"/>
      <c r="C68" s="16"/>
      <c r="D68" s="16"/>
      <c r="E68" s="22" t="str">
        <f ca="1">IFERROR(__xludf.dummyfunction("iferror(1000+INT(($N$2-(index(split(D68,"":""),1)*60+index(split(D68,"":""),2 )))/0.2+1)*$N$3,"""")"),"")</f>
        <v/>
      </c>
      <c r="F68" s="16" t="str">
        <f t="shared" ca="1" si="9"/>
        <v/>
      </c>
      <c r="G68" s="16"/>
      <c r="H68" s="22" t="str">
        <f ca="1">IFERROR(__xludf.dummyfunction("iferror(1000+INT(($N$4-(index(split(G68,"":""),1)*60+index(split(G68,"":""),2 )))/0.2+1)*$N$5,"""")"),"")</f>
        <v/>
      </c>
      <c r="I68" s="16" t="str">
        <f t="shared" ca="1" si="10"/>
        <v/>
      </c>
      <c r="J68" s="16" t="str">
        <f t="shared" si="11"/>
        <v/>
      </c>
      <c r="K68" s="16" t="str">
        <f t="shared" si="12"/>
        <v/>
      </c>
      <c r="L68" s="16"/>
    </row>
    <row r="69" spans="1:12" ht="14.5" x14ac:dyDescent="0.35">
      <c r="A69" s="16"/>
      <c r="B69" s="16"/>
      <c r="C69" s="16"/>
      <c r="D69" s="16"/>
      <c r="E69" s="22" t="str">
        <f ca="1">IFERROR(__xludf.dummyfunction("iferror(1000+INT(($N$2-(index(split(D69,"":""),1)*60+index(split(D69,"":""),2 )))/0.2+1)*$N$3,"""")"),"")</f>
        <v/>
      </c>
      <c r="F69" s="16" t="str">
        <f t="shared" ca="1" si="9"/>
        <v/>
      </c>
      <c r="G69" s="16"/>
      <c r="H69" s="22" t="str">
        <f ca="1">IFERROR(__xludf.dummyfunction("iferror(1000+INT(($N$4-(index(split(G69,"":""),1)*60+index(split(G69,"":""),2 )))/0.2+1)*$N$5,"""")"),"")</f>
        <v/>
      </c>
      <c r="I69" s="16" t="str">
        <f t="shared" ca="1" si="10"/>
        <v/>
      </c>
      <c r="J69" s="16" t="str">
        <f t="shared" si="11"/>
        <v/>
      </c>
      <c r="K69" s="16" t="str">
        <f t="shared" si="12"/>
        <v/>
      </c>
      <c r="L69" s="16"/>
    </row>
    <row r="70" spans="1:12" ht="14.5" x14ac:dyDescent="0.35">
      <c r="A70" s="16"/>
      <c r="B70" s="16"/>
      <c r="C70" s="16"/>
      <c r="D70" s="16"/>
      <c r="E70" s="22" t="str">
        <f ca="1">IFERROR(__xludf.dummyfunction("iferror(1000+INT(($N$2-(index(split(D70,"":""),1)*60+index(split(D70,"":""),2 )))/0.2+1)*$N$3,"""")"),"")</f>
        <v/>
      </c>
      <c r="F70" s="16" t="str">
        <f t="shared" ca="1" si="9"/>
        <v/>
      </c>
      <c r="G70" s="16"/>
      <c r="H70" s="22" t="str">
        <f ca="1">IFERROR(__xludf.dummyfunction("iferror(1000+INT(($N$4-(index(split(G70,"":""),1)*60+index(split(G70,"":""),2 )))/0.2+1)*$N$5,"""")"),"")</f>
        <v/>
      </c>
      <c r="I70" s="16" t="str">
        <f t="shared" ca="1" si="10"/>
        <v/>
      </c>
      <c r="J70" s="16" t="str">
        <f t="shared" si="11"/>
        <v/>
      </c>
      <c r="K70" s="16" t="str">
        <f t="shared" si="12"/>
        <v/>
      </c>
      <c r="L70" s="16"/>
    </row>
    <row r="71" spans="1:12" ht="14.5" x14ac:dyDescent="0.35">
      <c r="A71" s="16"/>
      <c r="B71" s="16"/>
      <c r="C71" s="16"/>
      <c r="D71" s="16"/>
      <c r="E71" s="22" t="str">
        <f ca="1">IFERROR(__xludf.dummyfunction("iferror(1000+INT(($N$2-(index(split(D71,"":""),1)*60+index(split(D71,"":""),2 )))/0.2+1)*$N$3,"""")"),"")</f>
        <v/>
      </c>
      <c r="F71" s="16" t="str">
        <f t="shared" ca="1" si="9"/>
        <v/>
      </c>
      <c r="G71" s="16"/>
      <c r="H71" s="22" t="str">
        <f ca="1">IFERROR(__xludf.dummyfunction("iferror(1000+INT(($N$4-(index(split(G71,"":""),1)*60+index(split(G71,"":""),2 )))/0.2+1)*$N$5,"""")"),"")</f>
        <v/>
      </c>
      <c r="I71" s="16" t="str">
        <f t="shared" ca="1" si="10"/>
        <v/>
      </c>
      <c r="J71" s="16" t="str">
        <f t="shared" si="11"/>
        <v/>
      </c>
      <c r="K71" s="16" t="str">
        <f t="shared" si="12"/>
        <v/>
      </c>
      <c r="L71" s="16"/>
    </row>
    <row r="72" spans="1:12" ht="14.5" x14ac:dyDescent="0.35">
      <c r="A72" s="16"/>
      <c r="B72" s="16"/>
      <c r="C72" s="16"/>
      <c r="D72" s="16"/>
      <c r="E72" s="22" t="str">
        <f ca="1">IFERROR(__xludf.dummyfunction("iferror(1000+INT(($N$2-(index(split(D72,"":""),1)*60+index(split(D72,"":""),2 )))/0.2+1)*$N$3,"""")"),"")</f>
        <v/>
      </c>
      <c r="F72" s="16" t="str">
        <f t="shared" ca="1" si="9"/>
        <v/>
      </c>
      <c r="G72" s="16"/>
      <c r="H72" s="22" t="str">
        <f ca="1">IFERROR(__xludf.dummyfunction("iferror(1000+INT(($N$4-(index(split(G72,"":""),1)*60+index(split(G72,"":""),2 )))/0.2+1)*$N$5,"""")"),"")</f>
        <v/>
      </c>
      <c r="I72" s="16" t="str">
        <f t="shared" ca="1" si="10"/>
        <v/>
      </c>
      <c r="J72" s="16" t="str">
        <f t="shared" si="11"/>
        <v/>
      </c>
      <c r="K72" s="16" t="str">
        <f t="shared" si="12"/>
        <v/>
      </c>
      <c r="L72" s="16"/>
    </row>
    <row r="73" spans="1:12" ht="14.5" x14ac:dyDescent="0.35">
      <c r="A73" s="16"/>
      <c r="B73" s="16"/>
      <c r="C73" s="16"/>
      <c r="D73" s="16"/>
      <c r="E73" s="22" t="str">
        <f ca="1">IFERROR(__xludf.dummyfunction("iferror(1000+INT(($N$2-(index(split(D73,"":""),1)*60+index(split(D73,"":""),2 )))/0.2+1)*$N$3,"""")"),"")</f>
        <v/>
      </c>
      <c r="F73" s="16" t="str">
        <f t="shared" ca="1" si="9"/>
        <v/>
      </c>
      <c r="G73" s="16"/>
      <c r="H73" s="22" t="str">
        <f ca="1">IFERROR(__xludf.dummyfunction("iferror(1000+INT(($N$4-(index(split(G73,"":""),1)*60+index(split(G73,"":""),2 )))/0.2+1)*$N$5,"""")"),"")</f>
        <v/>
      </c>
      <c r="I73" s="16" t="str">
        <f t="shared" ca="1" si="10"/>
        <v/>
      </c>
      <c r="J73" s="16" t="str">
        <f t="shared" si="11"/>
        <v/>
      </c>
      <c r="K73" s="16" t="str">
        <f t="shared" si="12"/>
        <v/>
      </c>
      <c r="L73" s="16"/>
    </row>
    <row r="74" spans="1:12" ht="14.5" x14ac:dyDescent="0.35">
      <c r="A74" s="16"/>
      <c r="B74" s="16"/>
      <c r="C74" s="16"/>
      <c r="D74" s="16"/>
      <c r="E74" s="22" t="str">
        <f ca="1">IFERROR(__xludf.dummyfunction("iferror(1000+INT(($N$2-(index(split(D74,"":""),1)*60+index(split(D74,"":""),2 )))/0.2+1)*$N$3,"""")"),"")</f>
        <v/>
      </c>
      <c r="F74" s="16" t="str">
        <f t="shared" ca="1" si="9"/>
        <v/>
      </c>
      <c r="G74" s="16"/>
      <c r="H74" s="22" t="str">
        <f ca="1">IFERROR(__xludf.dummyfunction("iferror(1000+INT(($N$4-(index(split(G74,"":""),1)*60+index(split(G74,"":""),2 )))/0.2+1)*$N$5,"""")"),"")</f>
        <v/>
      </c>
      <c r="I74" s="16" t="str">
        <f t="shared" ca="1" si="10"/>
        <v/>
      </c>
      <c r="J74" s="16" t="str">
        <f t="shared" si="11"/>
        <v/>
      </c>
      <c r="K74" s="16" t="str">
        <f t="shared" si="12"/>
        <v/>
      </c>
      <c r="L74" s="16"/>
    </row>
    <row r="75" spans="1:12" ht="14.5" x14ac:dyDescent="0.35">
      <c r="A75" s="16"/>
      <c r="B75" s="16"/>
      <c r="C75" s="16"/>
      <c r="D75" s="16"/>
      <c r="E75" s="22" t="str">
        <f ca="1">IFERROR(__xludf.dummyfunction("iferror(1000+INT(($N$2-(index(split(D75,"":""),1)*60+index(split(D75,"":""),2 )))/0.2+1)*$N$3,"""")"),"")</f>
        <v/>
      </c>
      <c r="F75" s="16" t="str">
        <f t="shared" ca="1" si="9"/>
        <v/>
      </c>
      <c r="G75" s="16"/>
      <c r="H75" s="22" t="str">
        <f ca="1">IFERROR(__xludf.dummyfunction("iferror(1000+INT(($N$4-(index(split(G75,"":""),1)*60+index(split(G75,"":""),2 )))/0.2+1)*$N$5,"""")"),"")</f>
        <v/>
      </c>
      <c r="I75" s="16" t="str">
        <f t="shared" ca="1" si="10"/>
        <v/>
      </c>
      <c r="J75" s="16" t="str">
        <f t="shared" si="11"/>
        <v/>
      </c>
      <c r="K75" s="16" t="str">
        <f t="shared" si="12"/>
        <v/>
      </c>
      <c r="L75" s="16"/>
    </row>
    <row r="76" spans="1:12" ht="14.5" x14ac:dyDescent="0.35">
      <c r="A76" s="16"/>
      <c r="B76" s="16"/>
      <c r="C76" s="16"/>
      <c r="D76" s="16"/>
      <c r="E76" s="22" t="str">
        <f ca="1">IFERROR(__xludf.dummyfunction("iferror(1000+INT(($N$2-(index(split(D76,"":""),1)*60+index(split(D76,"":""),2 )))/0.2+1)*$N$3,"""")"),"")</f>
        <v/>
      </c>
      <c r="F76" s="16" t="str">
        <f t="shared" ca="1" si="9"/>
        <v/>
      </c>
      <c r="G76" s="16"/>
      <c r="H76" s="22" t="str">
        <f ca="1">IFERROR(__xludf.dummyfunction("iferror(1000+INT(($N$4-(index(split(G76,"":""),1)*60+index(split(G76,"":""),2 )))/0.2+1)*$N$5,"""")"),"")</f>
        <v/>
      </c>
      <c r="I76" s="16" t="str">
        <f t="shared" ca="1" si="10"/>
        <v/>
      </c>
      <c r="J76" s="16" t="str">
        <f t="shared" si="11"/>
        <v/>
      </c>
      <c r="K76" s="16" t="str">
        <f t="shared" si="12"/>
        <v/>
      </c>
      <c r="L76" s="16"/>
    </row>
    <row r="77" spans="1:12" ht="14.5" x14ac:dyDescent="0.35">
      <c r="A77" s="16"/>
      <c r="B77" s="16"/>
      <c r="C77" s="16"/>
      <c r="D77" s="16"/>
      <c r="E77" s="22" t="str">
        <f ca="1">IFERROR(__xludf.dummyfunction("iferror(1000+INT(($N$2-(index(split(D77,"":""),1)*60+index(split(D77,"":""),2 )))/0.2+1)*$N$3,"""")"),"")</f>
        <v/>
      </c>
      <c r="F77" s="16" t="str">
        <f t="shared" ca="1" si="9"/>
        <v/>
      </c>
      <c r="G77" s="16"/>
      <c r="H77" s="22" t="str">
        <f ca="1">IFERROR(__xludf.dummyfunction("iferror(1000+INT(($N$4-(index(split(G77,"":""),1)*60+index(split(G77,"":""),2 )))/0.2+1)*$N$5,"""")"),"")</f>
        <v/>
      </c>
      <c r="I77" s="16" t="str">
        <f t="shared" ca="1" si="10"/>
        <v/>
      </c>
      <c r="J77" s="16" t="str">
        <f t="shared" si="11"/>
        <v/>
      </c>
      <c r="K77" s="16" t="str">
        <f t="shared" si="12"/>
        <v/>
      </c>
      <c r="L77" s="16"/>
    </row>
    <row r="78" spans="1:12" ht="14.5" x14ac:dyDescent="0.35">
      <c r="A78" s="16"/>
      <c r="B78" s="16"/>
      <c r="C78" s="16"/>
      <c r="D78" s="16"/>
      <c r="E78" s="22" t="str">
        <f ca="1">IFERROR(__xludf.dummyfunction("iferror(1000+INT(($N$2-(index(split(D78,"":""),1)*60+index(split(D78,"":""),2 )))/0.2+1)*$N$3,"""")"),"")</f>
        <v/>
      </c>
      <c r="F78" s="16" t="str">
        <f t="shared" ca="1" si="9"/>
        <v/>
      </c>
      <c r="G78" s="16"/>
      <c r="H78" s="22" t="str">
        <f ca="1">IFERROR(__xludf.dummyfunction("iferror(1000+INT(($N$4-(index(split(G78,"":""),1)*60+index(split(G78,"":""),2 )))/0.2+1)*$N$5,"""")"),"")</f>
        <v/>
      </c>
      <c r="I78" s="16" t="str">
        <f t="shared" ca="1" si="10"/>
        <v/>
      </c>
      <c r="J78" s="16" t="str">
        <f t="shared" si="11"/>
        <v/>
      </c>
      <c r="K78" s="16" t="str">
        <f t="shared" si="12"/>
        <v/>
      </c>
      <c r="L78" s="16"/>
    </row>
    <row r="79" spans="1:12" ht="14.5" x14ac:dyDescent="0.35">
      <c r="A79" s="16"/>
      <c r="B79" s="16"/>
      <c r="C79" s="16"/>
      <c r="D79" s="16"/>
      <c r="E79" s="22" t="str">
        <f ca="1">IFERROR(__xludf.dummyfunction("iferror(1000+INT(($N$2-(index(split(D79,"":""),1)*60+index(split(D79,"":""),2 )))/0.2+1)*$N$3,"""")"),"")</f>
        <v/>
      </c>
      <c r="F79" s="16" t="str">
        <f t="shared" ca="1" si="9"/>
        <v/>
      </c>
      <c r="G79" s="16"/>
      <c r="H79" s="22" t="str">
        <f ca="1">IFERROR(__xludf.dummyfunction("iferror(1000+INT(($N$4-(index(split(G79,"":""),1)*60+index(split(G79,"":""),2 )))/0.2+1)*$N$5,"""")"),"")</f>
        <v/>
      </c>
      <c r="I79" s="16" t="str">
        <f t="shared" ca="1" si="10"/>
        <v/>
      </c>
      <c r="J79" s="16" t="str">
        <f t="shared" si="11"/>
        <v/>
      </c>
      <c r="K79" s="16" t="str">
        <f t="shared" si="12"/>
        <v/>
      </c>
      <c r="L79" s="16"/>
    </row>
    <row r="80" spans="1:12" ht="14.5" x14ac:dyDescent="0.35">
      <c r="A80" s="16"/>
      <c r="B80" s="16"/>
      <c r="C80" s="16"/>
      <c r="D80" s="16"/>
      <c r="E80" s="22" t="str">
        <f ca="1">IFERROR(__xludf.dummyfunction("iferror(1000+INT(($N$2-(index(split(D80,"":""),1)*60+index(split(D80,"":""),2 )))/0.2+1)*$N$3,"""")"),"")</f>
        <v/>
      </c>
      <c r="F80" s="16" t="str">
        <f t="shared" ca="1" si="9"/>
        <v/>
      </c>
      <c r="G80" s="16"/>
      <c r="H80" s="22" t="str">
        <f ca="1">IFERROR(__xludf.dummyfunction("iferror(1000+INT(($N$4-(index(split(G80,"":""),1)*60+index(split(G80,"":""),2 )))/0.2+1)*$N$5,"""")"),"")</f>
        <v/>
      </c>
      <c r="I80" s="16" t="str">
        <f t="shared" ca="1" si="10"/>
        <v/>
      </c>
      <c r="J80" s="16" t="str">
        <f t="shared" si="11"/>
        <v/>
      </c>
      <c r="K80" s="16" t="str">
        <f t="shared" si="12"/>
        <v/>
      </c>
      <c r="L80" s="16"/>
    </row>
    <row r="81" spans="1:12" ht="14.5" x14ac:dyDescent="0.35">
      <c r="A81" s="16"/>
      <c r="B81" s="16"/>
      <c r="C81" s="16"/>
      <c r="D81" s="16"/>
      <c r="E81" s="22" t="str">
        <f ca="1">IFERROR(__xludf.dummyfunction("iferror(1000+INT(($N$2-(index(split(D81,"":""),1)*60+index(split(D81,"":""),2 )))/0.2+1)*$N$3,"""")"),"")</f>
        <v/>
      </c>
      <c r="F81" s="16" t="str">
        <f t="shared" ca="1" si="9"/>
        <v/>
      </c>
      <c r="G81" s="16"/>
      <c r="H81" s="22" t="str">
        <f ca="1">IFERROR(__xludf.dummyfunction("iferror(1000+INT(($N$4-(index(split(G81,"":""),1)*60+index(split(G81,"":""),2 )))/0.2+1)*$N$5,"""")"),"")</f>
        <v/>
      </c>
      <c r="I81" s="16" t="str">
        <f t="shared" ca="1" si="10"/>
        <v/>
      </c>
      <c r="J81" s="16" t="str">
        <f t="shared" si="11"/>
        <v/>
      </c>
      <c r="K81" s="16" t="str">
        <f t="shared" si="12"/>
        <v/>
      </c>
      <c r="L81" s="16"/>
    </row>
    <row r="82" spans="1:12" ht="14.5" x14ac:dyDescent="0.35">
      <c r="A82" s="16"/>
      <c r="B82" s="16"/>
      <c r="C82" s="16"/>
      <c r="D82" s="16"/>
      <c r="E82" s="22" t="str">
        <f ca="1">IFERROR(__xludf.dummyfunction("iferror(1000+INT(($N$2-(index(split(D82,"":""),1)*60+index(split(D82,"":""),2 )))/0.2+1)*$N$3,"""")"),"")</f>
        <v/>
      </c>
      <c r="F82" s="16" t="str">
        <f t="shared" ca="1" si="9"/>
        <v/>
      </c>
      <c r="G82" s="16"/>
      <c r="H82" s="22" t="str">
        <f ca="1">IFERROR(__xludf.dummyfunction("iferror(1000+INT(($N$4-(index(split(G82,"":""),1)*60+index(split(G82,"":""),2 )))/0.2+1)*$N$5,"""")"),"")</f>
        <v/>
      </c>
      <c r="I82" s="16" t="str">
        <f t="shared" ca="1" si="10"/>
        <v/>
      </c>
      <c r="J82" s="16" t="str">
        <f t="shared" si="11"/>
        <v/>
      </c>
      <c r="K82" s="16" t="str">
        <f t="shared" si="12"/>
        <v/>
      </c>
      <c r="L82" s="16"/>
    </row>
    <row r="83" spans="1:12" ht="14.5" x14ac:dyDescent="0.35">
      <c r="A83" s="16"/>
      <c r="B83" s="16"/>
      <c r="C83" s="16"/>
      <c r="D83" s="16"/>
      <c r="E83" s="22" t="str">
        <f ca="1">IFERROR(__xludf.dummyfunction("iferror(1000+INT(($N$2-(index(split(D83,"":""),1)*60+index(split(D83,"":""),2 )))/0.2+1)*$N$3,"""")"),"")</f>
        <v/>
      </c>
      <c r="F83" s="16" t="str">
        <f t="shared" ca="1" si="9"/>
        <v/>
      </c>
      <c r="G83" s="16"/>
      <c r="H83" s="22" t="str">
        <f ca="1">IFERROR(__xludf.dummyfunction("iferror(1000+INT(($N$4-(index(split(G83,"":""),1)*60+index(split(G83,"":""),2 )))/0.2+1)*$N$5,"""")"),"")</f>
        <v/>
      </c>
      <c r="I83" s="16" t="str">
        <f t="shared" ca="1" si="10"/>
        <v/>
      </c>
      <c r="J83" s="16" t="str">
        <f t="shared" si="11"/>
        <v/>
      </c>
      <c r="K83" s="16" t="str">
        <f t="shared" si="12"/>
        <v/>
      </c>
      <c r="L83" s="16"/>
    </row>
    <row r="84" spans="1:12" ht="14.5" x14ac:dyDescent="0.35">
      <c r="A84" s="16"/>
      <c r="B84" s="16"/>
      <c r="C84" s="16"/>
      <c r="D84" s="16"/>
      <c r="E84" s="22" t="str">
        <f ca="1">IFERROR(__xludf.dummyfunction("iferror(1000+INT(($N$2-(index(split(D84,"":""),1)*60+index(split(D84,"":""),2 )))/0.2+1)*$N$3,"""")"),"")</f>
        <v/>
      </c>
      <c r="F84" s="16" t="str">
        <f t="shared" ca="1" si="9"/>
        <v/>
      </c>
      <c r="G84" s="16"/>
      <c r="H84" s="22" t="str">
        <f ca="1">IFERROR(__xludf.dummyfunction("iferror(1000+INT(($N$4-(index(split(G84,"":""),1)*60+index(split(G84,"":""),2 )))/0.2+1)*$N$5,"""")"),"")</f>
        <v/>
      </c>
      <c r="I84" s="16" t="str">
        <f t="shared" ca="1" si="10"/>
        <v/>
      </c>
      <c r="J84" s="16" t="str">
        <f t="shared" si="11"/>
        <v/>
      </c>
      <c r="K84" s="16" t="str">
        <f t="shared" si="12"/>
        <v/>
      </c>
      <c r="L84" s="16"/>
    </row>
    <row r="85" spans="1:12" ht="14.5" x14ac:dyDescent="0.35">
      <c r="A85" s="16"/>
      <c r="B85" s="16"/>
      <c r="C85" s="16"/>
      <c r="D85" s="16"/>
      <c r="E85" s="22" t="str">
        <f ca="1">IFERROR(__xludf.dummyfunction("iferror(1000+INT(($N$2-(index(split(D85,"":""),1)*60+index(split(D85,"":""),2 )))/0.2+1)*$N$3,"""")"),"")</f>
        <v/>
      </c>
      <c r="F85" s="16" t="str">
        <f t="shared" ca="1" si="9"/>
        <v/>
      </c>
      <c r="G85" s="16"/>
      <c r="H85" s="22" t="str">
        <f ca="1">IFERROR(__xludf.dummyfunction("iferror(1000+INT(($N$4-(index(split(G85,"":""),1)*60+index(split(G85,"":""),2 )))/0.2+1)*$N$5,"""")"),"")</f>
        <v/>
      </c>
      <c r="I85" s="16" t="str">
        <f t="shared" ca="1" si="10"/>
        <v/>
      </c>
      <c r="J85" s="16" t="str">
        <f t="shared" si="11"/>
        <v/>
      </c>
      <c r="K85" s="16" t="str">
        <f t="shared" si="12"/>
        <v/>
      </c>
      <c r="L85" s="16"/>
    </row>
    <row r="86" spans="1:12" ht="14.5" x14ac:dyDescent="0.35">
      <c r="A86" s="16"/>
      <c r="B86" s="16"/>
      <c r="C86" s="16"/>
      <c r="D86" s="16"/>
      <c r="E86" s="22" t="str">
        <f ca="1">IFERROR(__xludf.dummyfunction("iferror(1000+INT(($N$2-(index(split(D86,"":""),1)*60+index(split(D86,"":""),2 )))/0.2+1)*$N$3,"""")"),"")</f>
        <v/>
      </c>
      <c r="F86" s="16" t="str">
        <f t="shared" ca="1" si="9"/>
        <v/>
      </c>
      <c r="G86" s="16"/>
      <c r="H86" s="22" t="str">
        <f ca="1">IFERROR(__xludf.dummyfunction("iferror(1000+INT(($N$4-(index(split(G86,"":""),1)*60+index(split(G86,"":""),2 )))/0.2+1)*$N$5,"""")"),"")</f>
        <v/>
      </c>
      <c r="I86" s="16" t="str">
        <f t="shared" ca="1" si="10"/>
        <v/>
      </c>
      <c r="J86" s="16" t="str">
        <f t="shared" si="11"/>
        <v/>
      </c>
      <c r="K86" s="16" t="str">
        <f t="shared" si="12"/>
        <v/>
      </c>
      <c r="L86" s="16"/>
    </row>
    <row r="87" spans="1:12" ht="14.5" x14ac:dyDescent="0.35">
      <c r="A87" s="16"/>
      <c r="B87" s="16"/>
      <c r="C87" s="16"/>
      <c r="D87" s="16"/>
      <c r="E87" s="22" t="str">
        <f ca="1">IFERROR(__xludf.dummyfunction("iferror(1000+INT(($N$2-(index(split(D87,"":""),1)*60+index(split(D87,"":""),2 )))/0.2+1)*$N$3,"""")"),"")</f>
        <v/>
      </c>
      <c r="F87" s="16" t="str">
        <f t="shared" ca="1" si="9"/>
        <v/>
      </c>
      <c r="G87" s="16"/>
      <c r="H87" s="22" t="str">
        <f ca="1">IFERROR(__xludf.dummyfunction("iferror(1000+INT(($N$4-(index(split(G87,"":""),1)*60+index(split(G87,"":""),2 )))/0.2+1)*$N$5,"""")"),"")</f>
        <v/>
      </c>
      <c r="I87" s="16" t="str">
        <f t="shared" ca="1" si="10"/>
        <v/>
      </c>
      <c r="J87" s="16" t="str">
        <f t="shared" si="11"/>
        <v/>
      </c>
      <c r="K87" s="16" t="str">
        <f t="shared" si="12"/>
        <v/>
      </c>
      <c r="L87" s="16"/>
    </row>
    <row r="88" spans="1:12" ht="14.5" x14ac:dyDescent="0.35">
      <c r="A88" s="16"/>
      <c r="B88" s="16"/>
      <c r="C88" s="16"/>
      <c r="D88" s="16"/>
      <c r="E88" s="22" t="str">
        <f ca="1">IFERROR(__xludf.dummyfunction("iferror(1000+INT(($N$2-(index(split(D88,"":""),1)*60+index(split(D88,"":""),2 )))/0.2+1)*$N$3,"""")"),"")</f>
        <v/>
      </c>
      <c r="F88" s="16" t="str">
        <f t="shared" ca="1" si="9"/>
        <v/>
      </c>
      <c r="G88" s="16"/>
      <c r="H88" s="22" t="str">
        <f ca="1">IFERROR(__xludf.dummyfunction("iferror(1000+INT(($N$4-(index(split(G88,"":""),1)*60+index(split(G88,"":""),2 )))/0.2+1)*$N$5,"""")"),"")</f>
        <v/>
      </c>
      <c r="I88" s="16" t="str">
        <f t="shared" ca="1" si="10"/>
        <v/>
      </c>
      <c r="J88" s="16" t="str">
        <f t="shared" si="11"/>
        <v/>
      </c>
      <c r="K88" s="16" t="str">
        <f t="shared" si="12"/>
        <v/>
      </c>
      <c r="L88" s="16"/>
    </row>
    <row r="89" spans="1:12" ht="14.5" x14ac:dyDescent="0.35">
      <c r="A89" s="16"/>
      <c r="B89" s="16"/>
      <c r="C89" s="16"/>
      <c r="D89" s="16"/>
      <c r="E89" s="22" t="str">
        <f ca="1">IFERROR(__xludf.dummyfunction("iferror(1000+INT(($N$2-(index(split(D89,"":""),1)*60+index(split(D89,"":""),2 )))/0.2+1)*$N$3,"""")"),"")</f>
        <v/>
      </c>
      <c r="F89" s="16" t="str">
        <f t="shared" ca="1" si="9"/>
        <v/>
      </c>
      <c r="G89" s="16"/>
      <c r="H89" s="22" t="str">
        <f ca="1">IFERROR(__xludf.dummyfunction("iferror(1000+INT(($N$4-(index(split(G89,"":""),1)*60+index(split(G89,"":""),2 )))/0.2+1)*$N$5,"""")"),"")</f>
        <v/>
      </c>
      <c r="I89" s="16" t="str">
        <f t="shared" ca="1" si="10"/>
        <v/>
      </c>
      <c r="J89" s="16" t="str">
        <f t="shared" si="11"/>
        <v/>
      </c>
      <c r="K89" s="16" t="str">
        <f t="shared" si="12"/>
        <v/>
      </c>
      <c r="L89" s="16"/>
    </row>
    <row r="90" spans="1:12" ht="14.5" x14ac:dyDescent="0.35">
      <c r="A90" s="16"/>
      <c r="B90" s="16"/>
      <c r="C90" s="16"/>
      <c r="D90" s="16"/>
      <c r="E90" s="22" t="str">
        <f ca="1">IFERROR(__xludf.dummyfunction("iferror(1000+INT(($N$2-(index(split(D90,"":""),1)*60+index(split(D90,"":""),2 )))/0.2+1)*$N$3,"""")"),"")</f>
        <v/>
      </c>
      <c r="F90" s="16" t="str">
        <f t="shared" ca="1" si="9"/>
        <v/>
      </c>
      <c r="G90" s="16"/>
      <c r="H90" s="22" t="str">
        <f ca="1">IFERROR(__xludf.dummyfunction("iferror(1000+INT(($N$4-(index(split(G90,"":""),1)*60+index(split(G90,"":""),2 )))/0.2+1)*$N$5,"""")"),"")</f>
        <v/>
      </c>
      <c r="I90" s="16" t="str">
        <f t="shared" ca="1" si="10"/>
        <v/>
      </c>
      <c r="J90" s="16" t="str">
        <f t="shared" si="11"/>
        <v/>
      </c>
      <c r="K90" s="16" t="str">
        <f t="shared" si="12"/>
        <v/>
      </c>
      <c r="L90" s="16"/>
    </row>
    <row r="91" spans="1:12" ht="14.5" x14ac:dyDescent="0.35">
      <c r="A91" s="16"/>
      <c r="B91" s="16"/>
      <c r="C91" s="16"/>
      <c r="D91" s="16"/>
      <c r="E91" s="22" t="str">
        <f ca="1">IFERROR(__xludf.dummyfunction("iferror(1000+INT(($N$2-(index(split(D91,"":""),1)*60+index(split(D91,"":""),2 )))/0.2+1)*$N$3,"""")"),"")</f>
        <v/>
      </c>
      <c r="F91" s="16" t="str">
        <f t="shared" ca="1" si="9"/>
        <v/>
      </c>
      <c r="G91" s="16"/>
      <c r="H91" s="22" t="str">
        <f ca="1">IFERROR(__xludf.dummyfunction("iferror(1000+INT(($N$4-(index(split(G91,"":""),1)*60+index(split(G91,"":""),2 )))/0.2+1)*$N$5,"""")"),"")</f>
        <v/>
      </c>
      <c r="I91" s="16" t="str">
        <f t="shared" ca="1" si="10"/>
        <v/>
      </c>
      <c r="J91" s="16" t="str">
        <f t="shared" si="11"/>
        <v/>
      </c>
      <c r="K91" s="16" t="str">
        <f t="shared" si="12"/>
        <v/>
      </c>
      <c r="L91" s="16"/>
    </row>
    <row r="92" spans="1:12" ht="14.5" x14ac:dyDescent="0.35">
      <c r="A92" s="16"/>
      <c r="B92" s="16"/>
      <c r="C92" s="16"/>
      <c r="D92" s="16"/>
      <c r="E92" s="22" t="str">
        <f ca="1">IFERROR(__xludf.dummyfunction("iferror(1000+INT(($N$2-(index(split(D92,"":""),1)*60+index(split(D92,"":""),2 )))/0.2+1)*$N$3,"""")"),"")</f>
        <v/>
      </c>
      <c r="F92" s="16" t="str">
        <f t="shared" ca="1" si="9"/>
        <v/>
      </c>
      <c r="G92" s="16"/>
      <c r="H92" s="22" t="str">
        <f ca="1">IFERROR(__xludf.dummyfunction("iferror(1000+INT(($N$4-(index(split(G92,"":""),1)*60+index(split(G92,"":""),2 )))/0.2+1)*$N$5,"""")"),"")</f>
        <v/>
      </c>
      <c r="I92" s="16" t="str">
        <f t="shared" ca="1" si="10"/>
        <v/>
      </c>
      <c r="J92" s="16" t="str">
        <f t="shared" si="11"/>
        <v/>
      </c>
      <c r="K92" s="16" t="str">
        <f t="shared" si="12"/>
        <v/>
      </c>
      <c r="L92" s="16"/>
    </row>
    <row r="93" spans="1:12" ht="14.5" x14ac:dyDescent="0.35">
      <c r="A93" s="16"/>
      <c r="B93" s="16"/>
      <c r="C93" s="16"/>
      <c r="D93" s="16"/>
      <c r="E93" s="22" t="str">
        <f ca="1">IFERROR(__xludf.dummyfunction("iferror(1000+INT(($N$2-(index(split(D93,"":""),1)*60+index(split(D93,"":""),2 )))/0.2+1)*$N$3,"""")"),"")</f>
        <v/>
      </c>
      <c r="F93" s="16" t="str">
        <f t="shared" ca="1" si="9"/>
        <v/>
      </c>
      <c r="G93" s="16"/>
      <c r="H93" s="22" t="str">
        <f ca="1">IFERROR(__xludf.dummyfunction("iferror(1000+INT(($N$4-(index(split(G93,"":""),1)*60+index(split(G93,"":""),2 )))/0.2+1)*$N$5,"""")"),"")</f>
        <v/>
      </c>
      <c r="I93" s="16" t="str">
        <f t="shared" ca="1" si="10"/>
        <v/>
      </c>
      <c r="J93" s="16" t="str">
        <f t="shared" si="11"/>
        <v/>
      </c>
      <c r="K93" s="16" t="str">
        <f t="shared" si="12"/>
        <v/>
      </c>
      <c r="L93" s="16"/>
    </row>
    <row r="94" spans="1:12" ht="14.5" x14ac:dyDescent="0.35">
      <c r="A94" s="16"/>
      <c r="B94" s="16"/>
      <c r="C94" s="16"/>
      <c r="D94" s="16"/>
      <c r="E94" s="22" t="str">
        <f ca="1">IFERROR(__xludf.dummyfunction("iferror(1000+INT(($N$2-(index(split(D94,"":""),1)*60+index(split(D94,"":""),2 )))/0.2+1)*$N$3,"""")"),"")</f>
        <v/>
      </c>
      <c r="F94" s="16" t="str">
        <f t="shared" ca="1" si="9"/>
        <v/>
      </c>
      <c r="G94" s="16"/>
      <c r="H94" s="22" t="str">
        <f ca="1">IFERROR(__xludf.dummyfunction("iferror(1000+INT(($N$4-(index(split(G94,"":""),1)*60+index(split(G94,"":""),2 )))/0.2+1)*$N$5,"""")"),"")</f>
        <v/>
      </c>
      <c r="I94" s="16" t="str">
        <f t="shared" ca="1" si="10"/>
        <v/>
      </c>
      <c r="J94" s="16" t="str">
        <f t="shared" si="11"/>
        <v/>
      </c>
      <c r="K94" s="16" t="str">
        <f t="shared" si="12"/>
        <v/>
      </c>
      <c r="L94" s="16"/>
    </row>
    <row r="95" spans="1:12" ht="14.5" x14ac:dyDescent="0.35">
      <c r="A95" s="16"/>
      <c r="B95" s="16"/>
      <c r="C95" s="16"/>
      <c r="D95" s="16"/>
      <c r="E95" s="22" t="str">
        <f ca="1">IFERROR(__xludf.dummyfunction("iferror(1000+INT(($N$2-(index(split(D95,"":""),1)*60+index(split(D95,"":""),2 )))/0.2+1)*$N$3,"""")"),"")</f>
        <v/>
      </c>
      <c r="F95" s="16" t="str">
        <f t="shared" ca="1" si="9"/>
        <v/>
      </c>
      <c r="G95" s="16"/>
      <c r="H95" s="22" t="str">
        <f ca="1">IFERROR(__xludf.dummyfunction("iferror(1000+INT(($N$4-(index(split(G95,"":""),1)*60+index(split(G95,"":""),2 )))/0.2+1)*$N$5,"""")"),"")</f>
        <v/>
      </c>
      <c r="I95" s="16" t="str">
        <f t="shared" ca="1" si="10"/>
        <v/>
      </c>
      <c r="J95" s="16" t="str">
        <f t="shared" si="11"/>
        <v/>
      </c>
      <c r="K95" s="16" t="str">
        <f t="shared" si="12"/>
        <v/>
      </c>
      <c r="L95" s="16"/>
    </row>
    <row r="96" spans="1:12" ht="14.5" x14ac:dyDescent="0.35">
      <c r="A96" s="16"/>
      <c r="B96" s="16"/>
      <c r="C96" s="16"/>
      <c r="D96" s="16"/>
      <c r="E96" s="22" t="str">
        <f ca="1">IFERROR(__xludf.dummyfunction("iferror(1000+INT(($N$2-(index(split(D96,"":""),1)*60+index(split(D96,"":""),2 )))/0.2+1)*$N$3,"""")"),"")</f>
        <v/>
      </c>
      <c r="F96" s="16" t="str">
        <f t="shared" ca="1" si="9"/>
        <v/>
      </c>
      <c r="G96" s="16"/>
      <c r="H96" s="22" t="str">
        <f ca="1">IFERROR(__xludf.dummyfunction("iferror(1000+INT(($N$4-(index(split(G96,"":""),1)*60+index(split(G96,"":""),2 )))/0.2+1)*$N$5,"""")"),"")</f>
        <v/>
      </c>
      <c r="I96" s="16" t="str">
        <f t="shared" ca="1" si="10"/>
        <v/>
      </c>
      <c r="J96" s="16" t="str">
        <f t="shared" si="11"/>
        <v/>
      </c>
      <c r="K96" s="16" t="str">
        <f t="shared" si="12"/>
        <v/>
      </c>
      <c r="L96" s="16"/>
    </row>
    <row r="97" spans="1:12" ht="14.5" x14ac:dyDescent="0.35">
      <c r="A97" s="16"/>
      <c r="B97" s="16"/>
      <c r="C97" s="16"/>
      <c r="D97" s="16"/>
      <c r="E97" s="22" t="str">
        <f ca="1">IFERROR(__xludf.dummyfunction("iferror(1000+INT(($N$2-(index(split(D97,"":""),1)*60+index(split(D97,"":""),2 )))/0.2+1)*$N$3,"""")"),"")</f>
        <v/>
      </c>
      <c r="F97" s="16" t="str">
        <f t="shared" ca="1" si="9"/>
        <v/>
      </c>
      <c r="G97" s="16"/>
      <c r="H97" s="22" t="str">
        <f ca="1">IFERROR(__xludf.dummyfunction("iferror(1000+INT(($N$4-(index(split(G97,"":""),1)*60+index(split(G97,"":""),2 )))/0.2+1)*$N$5,"""")"),"")</f>
        <v/>
      </c>
      <c r="I97" s="16" t="str">
        <f t="shared" ca="1" si="10"/>
        <v/>
      </c>
      <c r="J97" s="16" t="str">
        <f t="shared" si="11"/>
        <v/>
      </c>
      <c r="K97" s="16" t="str">
        <f t="shared" si="12"/>
        <v/>
      </c>
      <c r="L97" s="16"/>
    </row>
    <row r="98" spans="1:12" ht="14.5" x14ac:dyDescent="0.35">
      <c r="A98" s="16"/>
      <c r="B98" s="16"/>
      <c r="C98" s="16"/>
      <c r="D98" s="16"/>
      <c r="E98" s="22" t="str">
        <f ca="1">IFERROR(__xludf.dummyfunction("iferror(1000+INT(($N$2-(index(split(D98,"":""),1)*60+index(split(D98,"":""),2 )))/0.2+1)*$N$3,"""")"),"")</f>
        <v/>
      </c>
      <c r="F98" s="16" t="str">
        <f t="shared" ref="F98:F129" ca="1" si="13">IFERROR(_xlfn.RANK.EQ(E98,E:E),"")</f>
        <v/>
      </c>
      <c r="G98" s="16"/>
      <c r="H98" s="22" t="str">
        <f ca="1">IFERROR(__xludf.dummyfunction("iferror(1000+INT(($N$4-(index(split(G98,"":""),1)*60+index(split(G98,"":""),2 )))/0.2+1)*$N$5,"""")"),"")</f>
        <v/>
      </c>
      <c r="I98" s="16" t="str">
        <f t="shared" ref="I98:I129" ca="1" si="14">IFERROR(_xlfn.RANK.EQ(H98,H:H),"")</f>
        <v/>
      </c>
      <c r="J98" s="16" t="str">
        <f t="shared" si="11"/>
        <v/>
      </c>
      <c r="K98" s="16" t="str">
        <f t="shared" ref="K98:K129" si="15">IFERROR(_xlfn.RANK.EQ(J98,J:J),"")</f>
        <v/>
      </c>
      <c r="L98" s="16"/>
    </row>
    <row r="99" spans="1:12" ht="14.5" x14ac:dyDescent="0.35">
      <c r="A99" s="16"/>
      <c r="B99" s="16"/>
      <c r="C99" s="16"/>
      <c r="D99" s="16"/>
      <c r="E99" s="22" t="str">
        <f ca="1">IFERROR(__xludf.dummyfunction("iferror(1000+INT(($N$2-(index(split(D99,"":""),1)*60+index(split(D99,"":""),2 )))/0.2+1)*$N$3,"""")"),"")</f>
        <v/>
      </c>
      <c r="F99" s="16" t="str">
        <f t="shared" ca="1" si="13"/>
        <v/>
      </c>
      <c r="G99" s="16"/>
      <c r="H99" s="22" t="str">
        <f ca="1">IFERROR(__xludf.dummyfunction("iferror(1000+INT(($N$4-(index(split(G99,"":""),1)*60+index(split(G99,"":""),2 )))/0.2+1)*$N$5,"""")"),"")</f>
        <v/>
      </c>
      <c r="I99" s="16" t="str">
        <f t="shared" ca="1" si="14"/>
        <v/>
      </c>
      <c r="J99" s="16" t="str">
        <f t="shared" si="11"/>
        <v/>
      </c>
      <c r="K99" s="16" t="str">
        <f t="shared" si="15"/>
        <v/>
      </c>
      <c r="L99" s="16"/>
    </row>
    <row r="100" spans="1:12" ht="14.5" x14ac:dyDescent="0.35">
      <c r="A100" s="16"/>
      <c r="B100" s="16"/>
      <c r="C100" s="16"/>
      <c r="D100" s="16"/>
      <c r="E100" s="22" t="str">
        <f ca="1">IFERROR(__xludf.dummyfunction("iferror(1000+INT(($N$2-(index(split(D100,"":""),1)*60+index(split(D100,"":""),2 )))/0.2+1)*$N$3,"""")"),"")</f>
        <v/>
      </c>
      <c r="F100" s="16" t="str">
        <f t="shared" ca="1" si="13"/>
        <v/>
      </c>
      <c r="G100" s="16"/>
      <c r="H100" s="22" t="str">
        <f ca="1">IFERROR(__xludf.dummyfunction("iferror(1000+INT(($N$4-(index(split(G100,"":""),1)*60+index(split(G100,"":""),2 )))/0.2+1)*$N$5,"""")"),"")</f>
        <v/>
      </c>
      <c r="I100" s="16" t="str">
        <f t="shared" ca="1" si="14"/>
        <v/>
      </c>
      <c r="J100" s="16" t="str">
        <f t="shared" si="11"/>
        <v/>
      </c>
      <c r="K100" s="16" t="str">
        <f t="shared" si="15"/>
        <v/>
      </c>
      <c r="L100" s="16"/>
    </row>
    <row r="101" spans="1:12" ht="14.5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4.5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4.5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4.5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4.5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4.5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4.5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4.5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4.5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4.5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4.5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4.5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4.5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4.5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4.5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4.5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4.5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4.5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4.5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4.5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4.5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4.5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4.5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4.5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4.5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4.5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4.5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4.5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4.5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4.5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4.5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4.5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4.5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4.5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4.5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4.5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4.5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4.5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4.5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4.5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4.5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4.5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4.5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4.5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4.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4.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4.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4.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4.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4.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4.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4.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4.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4.5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4.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4.5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4.5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4.5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4.5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4.5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4.5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4.5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ht="14.5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4.5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ht="14.5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ht="14.5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4.5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4.5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5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4.5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4.5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4.5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4.5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4.5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4.5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4.5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4.5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4.5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4.5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4.5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4.5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4.5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4.5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4.5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4.5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4.5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4.5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4.5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4.5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4.5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4.5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4.5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4.5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4.5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4.5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4.5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4.5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4.5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4.5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4.5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4.5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4.5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4.5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4.5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4.5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4.5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4.5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4.5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4.5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4.5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4.5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4.5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4.5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4.5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4.5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4.5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4.5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4.5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4.5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4.5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4.5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4.5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4.5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4.5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4.5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4.5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4.5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4.5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4.5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4.5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4.5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4.5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4.5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5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4.5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4.5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4.5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4.5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4.5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4.5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4.5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4.5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4.5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4.5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4.5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4.5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4.5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4.5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4.5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4.5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4.5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4.5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4.5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4.5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4.5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4.5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4.5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4.5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4.5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4.5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4.5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4.5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4.5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4.5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4.5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4.5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4.5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4.5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4.5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4.5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4.5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4.5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4.5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4.5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4.5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4.5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4.5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4.5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4.5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4.5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4.5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4.5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4.5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4.5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4.5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4.5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4.5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4.5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4.5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4.5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4.5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4.5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4.5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4.5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4.5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4.5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4.5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4.5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4.5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4.5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4.5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4.5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4.5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4.5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4.5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4.5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4.5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4.5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4.5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4.5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4.5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4.5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4.5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4.5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4.5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4.5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4.5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4.5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4.5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4.5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4.5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4.5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4.5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4.5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4.5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4.5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4.5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4.5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4.5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4.5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4.5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4.5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4.5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4.5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4.5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4.5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4.5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4.5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4.5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4.5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4.5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4.5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4.5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4.5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4.5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4.5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4.5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4.5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4.5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4.5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4.5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4.5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4.5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4.5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4.5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4.5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4.5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4.5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4.5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4.5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4.5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4.5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4.5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4.5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4.5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4.5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4.5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4.5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4.5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4.5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4.5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4.5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4.5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4.5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4.5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4.5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4.5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4.5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4.5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ht="14.5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ht="14.5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ht="14.5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ht="14.5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ht="14.5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ht="14.5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ht="14.5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ht="14.5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ht="14.5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ht="14.5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ht="14.5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ht="14.5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ht="14.5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ht="14.5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ht="14.5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ht="14.5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ht="14.5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ht="14.5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ht="14.5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ht="14.5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ht="14.5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ht="14.5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ht="14.5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ht="14.5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ht="14.5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ht="14.5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ht="14.5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ht="14.5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ht="14.5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ht="14.5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ht="14.5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ht="14.5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ht="14.5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ht="14.5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ht="14.5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ht="14.5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ht="14.5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ht="14.5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ht="14.5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ht="14.5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ht="14.5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ht="14.5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ht="14.5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ht="14.5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ht="14.5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ht="14.5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ht="14.5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ht="14.5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ht="14.5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ht="14.5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ht="14.5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ht="14.5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ht="14.5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ht="14.5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ht="14.5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ht="14.5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ht="14.5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ht="14.5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 ht="14.5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 ht="14.5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 ht="14.5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 ht="14.5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 ht="14.5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 ht="14.5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 ht="14.5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 ht="14.5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 ht="14.5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 ht="14.5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 ht="14.5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 ht="14.5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 ht="14.5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 ht="14.5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 ht="14.5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 ht="14.5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 ht="14.5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 ht="14.5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 ht="14.5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 ht="14.5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 ht="14.5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 ht="14.5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 ht="14.5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 ht="14.5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 ht="14.5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 ht="14.5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 ht="14.5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 ht="14.5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 ht="14.5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 ht="14.5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 ht="14.5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 ht="14.5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 ht="14.5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 ht="14.5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 ht="14.5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 ht="14.5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 ht="14.5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 ht="14.5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 ht="14.5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 ht="14.5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 ht="14.5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 ht="14.5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 ht="14.5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 ht="14.5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 ht="14.5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 ht="14.5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 ht="14.5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 ht="14.5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 ht="14.5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 ht="14.5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 ht="14.5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 ht="14.5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 ht="14.5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 ht="14.5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 ht="14.5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 ht="14.5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 ht="14.5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 ht="14.5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 ht="14.5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 ht="14.5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 ht="14.5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 ht="14.5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 ht="14.5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 ht="14.5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 ht="14.5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 ht="14.5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 ht="14.5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 ht="14.5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 ht="14.5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 ht="14.5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 ht="14.5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 ht="14.5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 ht="14.5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 ht="14.5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 ht="14.5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 ht="14.5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 ht="14.5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 ht="14.5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 ht="14.5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 ht="14.5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 ht="14.5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 ht="14.5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 ht="14.5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ht="14.5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ht="14.5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ht="14.5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ht="14.5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ht="14.5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ht="14.5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ht="14.5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ht="14.5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 ht="14.5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 ht="14.5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 ht="14.5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 ht="14.5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 ht="14.5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 ht="14.5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 ht="14.5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 ht="14.5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 ht="14.5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 ht="14.5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 ht="14.5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 ht="14.5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 ht="14.5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 ht="14.5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 ht="14.5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 ht="14.5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 ht="14.5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 ht="14.5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 ht="14.5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 ht="14.5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 ht="14.5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 ht="14.5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 ht="14.5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 ht="14.5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 ht="14.5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 ht="14.5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 ht="14.5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 ht="14.5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 ht="14.5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 ht="14.5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 ht="14.5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 ht="14.5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 ht="14.5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 ht="14.5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 ht="14.5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 ht="14.5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 ht="14.5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 ht="14.5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 ht="14.5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 ht="14.5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 ht="14.5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 ht="14.5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 ht="14.5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 ht="14.5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 ht="14.5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 ht="14.5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 ht="14.5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 ht="14.5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 ht="14.5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 ht="14.5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 ht="14.5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 ht="14.5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 ht="14.5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 ht="14.5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 ht="14.5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 ht="14.5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 ht="14.5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 ht="14.5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 ht="14.5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 ht="14.5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 ht="14.5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 ht="14.5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 ht="14.5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 ht="14.5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 ht="14.5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 ht="14.5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 ht="14.5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 ht="14.5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 ht="14.5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 ht="14.5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 ht="14.5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 ht="14.5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 ht="14.5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 ht="14.5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 ht="14.5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 ht="14.5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 ht="14.5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 ht="14.5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 ht="14.5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 ht="14.5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 ht="14.5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 ht="14.5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 ht="14.5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 ht="14.5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 ht="14.5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 ht="14.5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 ht="14.5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 ht="14.5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 ht="14.5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 ht="14.5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 ht="14.5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 ht="14.5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 ht="14.5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 ht="14.5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 ht="14.5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 ht="14.5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 ht="14.5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 ht="14.5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 ht="14.5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 ht="14.5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 ht="14.5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 ht="14.5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 ht="14.5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 ht="14.5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 ht="14.5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 ht="14.5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 ht="14.5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 ht="14.5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 ht="14.5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 ht="14.5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 ht="14.5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 ht="14.5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 ht="14.5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 ht="14.5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 ht="14.5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 ht="14.5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 ht="14.5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 ht="14.5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 ht="14.5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 ht="14.5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 ht="14.5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 ht="14.5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 ht="14.5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 ht="14.5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 ht="14.5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 ht="14.5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 ht="14.5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 ht="14.5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 ht="14.5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 ht="14.5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 ht="14.5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 ht="14.5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 ht="14.5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 ht="14.5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 ht="14.5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 ht="14.5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 ht="14.5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 ht="14.5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 ht="14.5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 ht="14.5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 ht="14.5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 ht="14.5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 ht="14.5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 ht="14.5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 ht="14.5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 ht="14.5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 ht="14.5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 ht="14.5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 ht="14.5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 ht="14.5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 ht="14.5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 ht="14.5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 ht="14.5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 ht="14.5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 ht="14.5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 ht="14.5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 ht="14.5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 ht="14.5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 ht="14.5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 ht="14.5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 ht="14.5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 ht="14.5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 ht="14.5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 ht="14.5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 ht="14.5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 ht="14.5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 ht="14.5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 ht="14.5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 ht="14.5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 ht="14.5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 ht="14.5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 ht="14.5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 ht="14.5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 ht="14.5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 ht="14.5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 ht="14.5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 ht="14.5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 ht="14.5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 ht="14.5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 ht="14.5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 ht="14.5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 ht="14.5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 ht="14.5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 ht="14.5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 ht="14.5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 ht="14.5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 ht="14.5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 ht="14.5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 ht="14.5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 ht="14.5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 ht="14.5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 ht="14.5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 ht="14.5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 ht="14.5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 ht="14.5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 ht="14.5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 ht="14.5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 ht="14.5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 ht="14.5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 ht="14.5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 ht="14.5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 ht="14.5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 ht="14.5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 ht="14.5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 ht="14.5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 ht="14.5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 ht="14.5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 ht="14.5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 ht="14.5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 ht="14.5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 ht="14.5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 ht="14.5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 ht="14.5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 ht="14.5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 ht="14.5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 ht="14.5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 ht="14.5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 ht="14.5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 ht="14.5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 ht="14.5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 ht="14.5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 ht="14.5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 ht="14.5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 ht="14.5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 ht="14.5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 ht="14.5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 ht="14.5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 ht="14.5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 ht="14.5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 ht="14.5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 ht="14.5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 ht="14.5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 ht="14.5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 ht="14.5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 ht="14.5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 ht="14.5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 ht="14.5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 ht="14.5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 ht="14.5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 ht="14.5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 ht="14.5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 ht="14.5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 ht="14.5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 ht="14.5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 ht="14.5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 ht="14.5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 ht="14.5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 ht="14.5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 ht="14.5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 ht="14.5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 ht="14.5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 ht="14.5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 ht="14.5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 ht="14.5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 ht="14.5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 ht="14.5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 ht="14.5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 ht="14.5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 ht="14.5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 ht="14.5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 ht="14.5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 ht="14.5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 ht="14.5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 ht="14.5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 ht="14.5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 ht="14.5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 ht="14.5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 ht="14.5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 ht="14.5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 ht="14.5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 ht="14.5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 ht="14.5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 ht="14.5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 ht="14.5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 ht="14.5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 ht="14.5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 ht="14.5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 ht="14.5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 ht="14.5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 ht="14.5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 ht="14.5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 ht="14.5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 ht="14.5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 ht="14.5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 ht="14.5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 ht="14.5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 ht="14.5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 ht="14.5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 ht="14.5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 ht="14.5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 ht="14.5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 ht="14.5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 ht="14.5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 ht="14.5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 ht="14.5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 ht="14.5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 ht="14.5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 ht="14.5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 ht="14.5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 ht="14.5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 ht="14.5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 ht="14.5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 ht="14.5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 ht="14.5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 ht="14.5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 ht="14.5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 ht="14.5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 ht="14.5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 ht="14.5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 ht="14.5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 ht="14.5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 ht="14.5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 ht="14.5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 ht="14.5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 ht="14.5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 ht="14.5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 ht="14.5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 ht="14.5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 ht="14.5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 ht="14.5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 ht="14.5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 ht="14.5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 ht="14.5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 ht="14.5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 ht="14.5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 ht="14.5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 ht="14.5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 ht="14.5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 ht="14.5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 ht="14.5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 ht="14.5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 ht="14.5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 ht="14.5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 ht="14.5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 ht="14.5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 ht="14.5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 ht="14.5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 ht="14.5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 ht="14.5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 ht="14.5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 ht="14.5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 ht="14.5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 ht="14.5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 ht="14.5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 ht="14.5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 ht="14.5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 ht="14.5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 ht="14.5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 ht="14.5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 ht="14.5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 ht="14.5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 ht="14.5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 ht="14.5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 ht="14.5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 ht="14.5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 ht="14.5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 ht="14.5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 ht="14.5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 ht="14.5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 ht="14.5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 ht="14.5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 ht="14.5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 ht="14.5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 ht="14.5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 ht="14.5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 ht="14.5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 ht="14.5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 ht="14.5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 ht="14.5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 ht="14.5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 ht="14.5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 ht="14.5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 ht="14.5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 ht="14.5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 ht="14.5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 ht="14.5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 ht="14.5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 ht="14.5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 ht="14.5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 ht="14.5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 ht="14.5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 ht="14.5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 ht="14.5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 ht="14.5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 ht="14.5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 ht="14.5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 ht="14.5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 ht="14.5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 ht="14.5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 ht="14.5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 ht="14.5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 ht="14.5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 ht="14.5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 ht="14.5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 ht="14.5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 ht="14.5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 ht="14.5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</sheetData>
  <sortState xmlns:xlrd2="http://schemas.microsoft.com/office/spreadsheetml/2017/richdata2" ref="A2:K6">
    <sortCondition ref="K2:K6"/>
  </sortState>
  <printOptions horizontalCentered="1" gridLines="1"/>
  <pageMargins left="0.7" right="0.7" top="1.1437499999999998" bottom="1.1437499999999998" header="0.75" footer="0.75"/>
  <pageSetup paperSize="0" fitToWidth="0" fitToHeight="0" pageOrder="overThenDown" orientation="landscape" horizontalDpi="0" verticalDpi="0" copies="0"/>
  <headerFooter alignWithMargins="0"/>
  <ignoredErrors>
    <ignoredError sqref="J2:J27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'Scoring tables'!$A$2:$A$57</xm:f>
          </x14:formula1>
          <xm:sqref>L1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4"/>
  <sheetViews>
    <sheetView workbookViewId="0">
      <selection activeCell="C13" sqref="C13"/>
    </sheetView>
  </sheetViews>
  <sheetFormatPr defaultRowHeight="15.75" customHeight="1" x14ac:dyDescent="0.3"/>
  <cols>
    <col min="1" max="1" width="10.4140625" customWidth="1"/>
    <col min="2" max="2" width="23.58203125" customWidth="1"/>
    <col min="3" max="3" width="22.4140625" customWidth="1"/>
    <col min="4" max="11" width="8.4140625" customWidth="1"/>
    <col min="12" max="1024" width="11.6640625" customWidth="1"/>
  </cols>
  <sheetData>
    <row r="1" spans="1:14" ht="30.75" customHeight="1" x14ac:dyDescent="0.35">
      <c r="A1" s="20" t="s">
        <v>0</v>
      </c>
      <c r="B1" s="20" t="s">
        <v>26</v>
      </c>
      <c r="C1" s="20" t="s">
        <v>27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5</v>
      </c>
      <c r="M1" s="25"/>
    </row>
    <row r="2" spans="1:14" ht="14.5" x14ac:dyDescent="0.35">
      <c r="A2" s="16">
        <f ca="1">IFERROR(__xludf.dummyfunction("Query(Entries!$A$2:$U$1205,""select A,C,D where B = '""&amp;L1&amp;""'"")"),14)</f>
        <v>14</v>
      </c>
      <c r="B2" s="5" t="str">
        <f ca="1">IFERROR(__xludf.dummyfunction("""COMPUTED_VALUE"""),"Lydia Skinner")</f>
        <v>Lydia Skinner</v>
      </c>
      <c r="C2" s="5" t="str">
        <f ca="1">IFERROR(__xludf.dummyfunction("""COMPUTED_VALUE"""),"Mylnhurst Preparatory School")</f>
        <v>Mylnhurst Preparatory School</v>
      </c>
      <c r="D2" s="16" t="s">
        <v>183</v>
      </c>
      <c r="E2" s="22">
        <f ca="1">IFERROR(__xludf.dummyfunction("iferror(1000+INT(($N$2-(index(split(D2,"":""),1)*60+index(split(D2,"":""),2 )))/0.2+1)*$N$3,"""")"),1048)</f>
        <v>1048</v>
      </c>
      <c r="F2" s="16">
        <f ca="1">IFERROR(_xlfn.RANK.EQ(E2,E:E),"")</f>
        <v>1</v>
      </c>
      <c r="G2" s="22" t="s">
        <v>184</v>
      </c>
      <c r="H2" s="22">
        <f ca="1">IFERROR(__xludf.dummyfunction("iferror(1000+INT(($N$4-(index(split(G2,"":""),1)*60+index(split(G2,"":""),2 )))/0.2+1)*$N$5,"""")"),994)</f>
        <v>994</v>
      </c>
      <c r="I2" s="16">
        <f ca="1">IFERROR(_xlfn.RANK.EQ(H2,H:H),"")</f>
        <v>1</v>
      </c>
      <c r="J2" s="22">
        <f ca="1">IF(AND(D2="", G2=""), "", E2+H2)</f>
        <v>2042</v>
      </c>
      <c r="K2" s="16">
        <f ca="1">IFERROR(_xlfn.RANK.EQ(J2,J:J),"")</f>
        <v>1</v>
      </c>
      <c r="L2" s="16"/>
      <c r="M2" s="21" t="s">
        <v>38</v>
      </c>
      <c r="N2" s="10">
        <f>VLOOKUP($L$1,'Scoring tables'!$A$2:$K$57,10,0)</f>
        <v>21</v>
      </c>
    </row>
    <row r="3" spans="1:14" ht="14.5" x14ac:dyDescent="0.35">
      <c r="A3" s="16">
        <f ca="1">IFERROR(__xludf.dummyfunction("""COMPUTED_VALUE"""),15)</f>
        <v>15</v>
      </c>
      <c r="B3" s="5" t="str">
        <f ca="1">IFERROR(__xludf.dummyfunction("""COMPUTED_VALUE"""),"Emily Jepson")</f>
        <v>Emily Jepson</v>
      </c>
      <c r="C3" s="5" t="str">
        <f ca="1">IFERROR(__xludf.dummyfunction("""COMPUTED_VALUE"""),"Longton County Primary School")</f>
        <v>Longton County Primary School</v>
      </c>
      <c r="D3" s="16" t="s">
        <v>185</v>
      </c>
      <c r="E3" s="22">
        <f ca="1">IFERROR(__xludf.dummyfunction("iferror(1000+INT(($N$2-(index(split(D3,"":""),1)*60+index(split(D3,"":""),2 )))/0.2+1)*$N$3,"""")"),994)</f>
        <v>994</v>
      </c>
      <c r="F3" s="16">
        <f ca="1">IFERROR(_xlfn.RANK.EQ(E3,E:E),"")</f>
        <v>3</v>
      </c>
      <c r="G3" s="16" t="s">
        <v>186</v>
      </c>
      <c r="H3" s="22">
        <f ca="1">IFERROR(__xludf.dummyfunction("iferror(1000+INT(($N$4-(index(split(G3,"":""),1)*60+index(split(G3,"":""),2 )))/0.2+1)*$N$5,"""")"),802)</f>
        <v>802</v>
      </c>
      <c r="I3" s="16">
        <f ca="1">IFERROR(_xlfn.RANK.EQ(H3,H:H),"")</f>
        <v>2</v>
      </c>
      <c r="J3" s="22">
        <f t="shared" ref="J3:J28" ca="1" si="0">IF(AND(D3="", G3=""), "", E3+H3)</f>
        <v>1796</v>
      </c>
      <c r="K3" s="16">
        <f ca="1">IFERROR(_xlfn.RANK.EQ(J3,J:J),"")</f>
        <v>2</v>
      </c>
      <c r="L3" s="16"/>
      <c r="M3" s="21" t="s">
        <v>39</v>
      </c>
      <c r="N3" s="10">
        <f>VLOOKUP($L$1,'Scoring tables'!$A$2:$K$57,11,0)</f>
        <v>6</v>
      </c>
    </row>
    <row r="4" spans="1:14" ht="14.5" x14ac:dyDescent="0.35">
      <c r="A4" s="16">
        <f ca="1">IFERROR(__xludf.dummyfunction("""COMPUTED_VALUE"""),19)</f>
        <v>19</v>
      </c>
      <c r="B4" s="5" t="str">
        <f ca="1">IFERROR(__xludf.dummyfunction("""COMPUTED_VALUE"""),"FLORENCE ALESBROOK")</f>
        <v>FLORENCE ALESBROOK</v>
      </c>
      <c r="C4" s="5" t="str">
        <f ca="1">IFERROR(__xludf.dummyfunction("""COMPUTED_VALUE"""),"Mylnhurst Preparatory School")</f>
        <v>Mylnhurst Preparatory School</v>
      </c>
      <c r="D4" s="16" t="s">
        <v>189</v>
      </c>
      <c r="E4" s="22">
        <f ca="1">IFERROR(__xludf.dummyfunction("iferror(1000+INT(($N$2-(index(split(D7,"":""),1)*60+index(split(D7,"":""),2 )))/0.2+1)*$N$3,"""")"),1006)</f>
        <v>1006</v>
      </c>
      <c r="F4" s="16">
        <f ca="1">IFERROR(_xlfn.RANK.EQ(E4,E:E),"")</f>
        <v>2</v>
      </c>
      <c r="G4" s="16" t="s">
        <v>190</v>
      </c>
      <c r="H4" s="22">
        <f ca="1">IFERROR(__xludf.dummyfunction("iferror(1000+INT(($N$4-(index(split(G7,"":""),1)*60+index(split(G7,"":""),2 )))/0.2+1)*$N$5,"""")"),676)</f>
        <v>676</v>
      </c>
      <c r="I4" s="16">
        <f ca="1">IFERROR(_xlfn.RANK.EQ(H4,H:H),"")</f>
        <v>3</v>
      </c>
      <c r="J4" s="22">
        <f t="shared" ca="1" si="0"/>
        <v>1682</v>
      </c>
      <c r="K4" s="16">
        <f ca="1">IFERROR(_xlfn.RANK.EQ(J4,J:J),"")</f>
        <v>3</v>
      </c>
      <c r="L4" s="16"/>
      <c r="M4" s="25"/>
      <c r="N4" s="10">
        <f>VLOOKUP($L$1,'Scoring tables'!$A$2:$K$57,5,0)</f>
        <v>90</v>
      </c>
    </row>
    <row r="5" spans="1:14" ht="14.5" x14ac:dyDescent="0.35">
      <c r="A5" s="16">
        <f ca="1">IFERROR(__xludf.dummyfunction("""COMPUTED_VALUE"""),16)</f>
        <v>16</v>
      </c>
      <c r="B5" s="5" t="str">
        <f ca="1">IFERROR(__xludf.dummyfunction("""COMPUTED_VALUE"""),"Isobel Morris")</f>
        <v>Isobel Morris</v>
      </c>
      <c r="C5" s="5" t="str">
        <f ca="1">IFERROR(__xludf.dummyfunction("""COMPUTED_VALUE"""),"Manor Road Primary School")</f>
        <v>Manor Road Primary School</v>
      </c>
      <c r="D5" s="16" t="s">
        <v>187</v>
      </c>
      <c r="E5" s="22">
        <f ca="1">IFERROR(__xludf.dummyfunction("iferror(1000+INT(($N$2-(index(split(D4,"":""),1)*60+index(split(D4,"":""),2 )))/0.2+1)*$N$3,"""")"),700)</f>
        <v>700</v>
      </c>
      <c r="F5" s="16">
        <f ca="1">IFERROR(_xlfn.RANK.EQ(E5,E:E),"")</f>
        <v>4</v>
      </c>
      <c r="G5" s="16" t="s">
        <v>188</v>
      </c>
      <c r="H5" s="22">
        <f ca="1">IFERROR(__xludf.dummyfunction("iferror(1000+INT(($N$4-(index(split(G4,"":""),1)*60+index(split(G4,"":""),2 )))/0.2+1)*$N$5,"""")"),574)</f>
        <v>574</v>
      </c>
      <c r="I5" s="16">
        <f ca="1">IFERROR(_xlfn.RANK.EQ(H5,H:H),"")</f>
        <v>4</v>
      </c>
      <c r="J5" s="22">
        <f t="shared" ca="1" si="0"/>
        <v>1274</v>
      </c>
      <c r="K5" s="16">
        <v>4</v>
      </c>
      <c r="L5" s="16"/>
      <c r="M5" s="21" t="s">
        <v>31</v>
      </c>
      <c r="N5" s="10">
        <f>VLOOKUP($L$1,'Scoring tables'!$A$2:$K$57,6,0)</f>
        <v>6</v>
      </c>
    </row>
    <row r="6" spans="1:14" ht="14.5" x14ac:dyDescent="0.35">
      <c r="A6" s="28"/>
      <c r="B6" s="29" t="str">
        <f ca="1">IFERROR(__xludf.dummyfunction("""COMPUTED_VALUE"""),"ELODIE HEMER BURTON")</f>
        <v>ELODIE HEMER BURTON</v>
      </c>
      <c r="C6" s="29" t="str">
        <f ca="1">IFERROR(__xludf.dummyfunction("""COMPUTED_VALUE"""),"Mylnhurst Preparatory School")</f>
        <v>Mylnhurst Preparatory School</v>
      </c>
      <c r="D6" s="28"/>
      <c r="E6" s="30" t="str">
        <f ca="1">IFERROR(__xludf.dummyfunction("iferror(1000+INT(($N$2-(index(split(D6,"":""),1)*60+index(split(D6,"":""),2 )))/0.2+1)*$N$3,"""")"),"")</f>
        <v/>
      </c>
      <c r="F6" s="28" t="str">
        <f ca="1">IFERROR(_xlfn.RANK.EQ(E6,E:E),"")</f>
        <v/>
      </c>
      <c r="G6" s="28"/>
      <c r="H6" s="30" t="str">
        <f ca="1">IFERROR(__xludf.dummyfunction("iferror(1000+INT(($N$4-(index(split(G6,"":""),1)*60+index(split(G6,"":""),2 )))/0.2+1)*$N$5,"""")"),"")</f>
        <v/>
      </c>
      <c r="I6" s="28" t="str">
        <f ca="1">IFERROR(_xlfn.RANK.EQ(H6,H:H),"")</f>
        <v/>
      </c>
      <c r="J6" s="30" t="str">
        <f t="shared" si="0"/>
        <v/>
      </c>
      <c r="K6" s="28" t="s">
        <v>444</v>
      </c>
      <c r="L6" s="28"/>
      <c r="M6" s="25"/>
    </row>
    <row r="7" spans="1:14" ht="14.5" x14ac:dyDescent="0.35">
      <c r="A7" s="28">
        <v>20</v>
      </c>
      <c r="B7" s="29" t="str">
        <f ca="1">IFERROR(__xludf.dummyfunction("""COMPUTED_VALUE"""),"Pippa Payton")</f>
        <v>Pippa Payton</v>
      </c>
      <c r="C7" s="29" t="str">
        <f ca="1">IFERROR(__xludf.dummyfunction("""COMPUTED_VALUE"""),"Bracken Leas Primary School")</f>
        <v>Bracken Leas Primary School</v>
      </c>
      <c r="D7" s="32"/>
      <c r="E7" s="30" t="str">
        <f ca="1">IFERROR(__xludf.dummyfunction("iferror(1000+INT(($N$2-(index(split(D8,"":""),1)*60+index(split(D8,"":""),2 )))/0.2+1)*$N$3,"""")"),"")</f>
        <v/>
      </c>
      <c r="F7" s="28" t="str">
        <f ca="1">IFERROR(_xlfn.RANK.EQ(E7,E:E),"")</f>
        <v/>
      </c>
      <c r="G7" s="28"/>
      <c r="H7" s="30" t="str">
        <f ca="1">IFERROR(__xludf.dummyfunction("iferror(1000+INT(($N$4-(index(split(G8,"":""),1)*60+index(split(G8,"":""),2 )))/0.2+1)*$N$5,"""")"),"")</f>
        <v/>
      </c>
      <c r="I7" s="28" t="str">
        <f ca="1">IFERROR(_xlfn.RANK.EQ(H7,H:H),"")</f>
        <v/>
      </c>
      <c r="J7" s="30" t="str">
        <f t="shared" si="0"/>
        <v/>
      </c>
      <c r="K7" s="28" t="s">
        <v>444</v>
      </c>
      <c r="L7" s="28"/>
      <c r="M7" s="25"/>
    </row>
    <row r="8" spans="1:14" ht="14.5" x14ac:dyDescent="0.35">
      <c r="A8" s="8"/>
      <c r="B8" s="16"/>
      <c r="C8" s="16"/>
      <c r="D8" s="16"/>
      <c r="E8" s="22" t="str">
        <f ca="1">IFERROR(__xludf.dummyfunction("iferror(1000+INT(($N$2-(index(split(D9,"":""),1)*60+index(split(D9,"":""),2 )))/0.2+1)*$N$3,"""")"),"")</f>
        <v/>
      </c>
      <c r="F8" s="16" t="str">
        <f ca="1">IFERROR(_xlfn.RANK.EQ(E8,E:E),"")</f>
        <v/>
      </c>
      <c r="G8" s="16"/>
      <c r="H8" s="22" t="str">
        <f ca="1">IFERROR(__xludf.dummyfunction("iferror(1000+INT(($N$4-(index(split(G9,"":""),1)*60+index(split(G9,"":""),2 )))/0.2+1)*$N$5,"""")"),"")</f>
        <v/>
      </c>
      <c r="I8" s="16" t="str">
        <f ca="1">IFERROR(_xlfn.RANK.EQ(H8,H:H),"")</f>
        <v/>
      </c>
      <c r="J8" s="22" t="str">
        <f t="shared" si="0"/>
        <v/>
      </c>
      <c r="K8" s="16" t="str">
        <f>IFERROR(_xlfn.RANK.EQ(J8,J:J),"")</f>
        <v/>
      </c>
      <c r="L8" s="16"/>
      <c r="M8" s="25"/>
    </row>
    <row r="9" spans="1:14" ht="14.5" x14ac:dyDescent="0.35">
      <c r="A9" s="8"/>
      <c r="B9" s="8"/>
      <c r="C9" s="8"/>
      <c r="D9" s="8"/>
      <c r="E9" s="9" t="str">
        <f ca="1">IFERROR(__xludf.dummyfunction("iferror(1000+INT(($N$2-(index(split(D10,"":""),1)*60+index(split(D10,"":""),2 )))/0.2+1)*$N$3,"""")"),"")</f>
        <v/>
      </c>
      <c r="F9" s="8" t="str">
        <f ca="1">IFERROR(_xlfn.RANK.EQ(E9,E:E),"")</f>
        <v/>
      </c>
      <c r="G9" s="8"/>
      <c r="H9" s="9" t="str">
        <f ca="1">IFERROR(__xludf.dummyfunction("iferror(1000+INT(($N$4-(index(split(G10,"":""),1)*60+index(split(G10,"":""),2 )))/0.2+1)*$N$5,"""")"),"")</f>
        <v/>
      </c>
      <c r="I9" s="8" t="str">
        <f ca="1">IFERROR(_xlfn.RANK.EQ(H9,H:H),"")</f>
        <v/>
      </c>
      <c r="J9" s="22" t="str">
        <f t="shared" si="0"/>
        <v/>
      </c>
      <c r="K9" s="8" t="str">
        <f>IFERROR(_xlfn.RANK.EQ(J9,J:J),"")</f>
        <v/>
      </c>
      <c r="L9" s="8"/>
    </row>
    <row r="10" spans="1:14" ht="14.5" x14ac:dyDescent="0.35">
      <c r="A10" s="8"/>
      <c r="B10" s="8"/>
      <c r="C10" s="8"/>
      <c r="D10" s="8"/>
      <c r="E10" s="9" t="str">
        <f ca="1">IFERROR(__xludf.dummyfunction("iferror(1000+INT(($N$2-(index(split(D11,"":""),1)*60+index(split(D11,"":""),2 )))/0.2+1)*$N$3,"""")"),"")</f>
        <v/>
      </c>
      <c r="F10" s="8" t="str">
        <f ca="1">IFERROR(_xlfn.RANK.EQ(E10,E:E),"")</f>
        <v/>
      </c>
      <c r="G10" s="8"/>
      <c r="H10" s="9" t="str">
        <f ca="1">IFERROR(__xludf.dummyfunction("iferror(1000+INT(($N$4-(index(split(G11,"":""),1)*60+index(split(G11,"":""),2 )))/0.2+1)*$N$5,"""")"),"")</f>
        <v/>
      </c>
      <c r="I10" s="8" t="str">
        <f ca="1">IFERROR(_xlfn.RANK.EQ(H10,H:H),"")</f>
        <v/>
      </c>
      <c r="J10" s="22" t="str">
        <f t="shared" si="0"/>
        <v/>
      </c>
      <c r="K10" s="8" t="str">
        <f>IFERROR(_xlfn.RANK.EQ(J10,J:J),"")</f>
        <v/>
      </c>
      <c r="L10" s="8"/>
    </row>
    <row r="11" spans="1:14" ht="14.5" x14ac:dyDescent="0.35">
      <c r="A11" s="8"/>
      <c r="B11" s="8"/>
      <c r="C11" s="8"/>
      <c r="D11" s="8"/>
      <c r="E11" s="9" t="str">
        <f ca="1">IFERROR(__xludf.dummyfunction("iferror(1000+INT(($N$2-(index(split(D12,"":""),1)*60+index(split(D12,"":""),2 )))/0.2+1)*$N$3,"""")"),"")</f>
        <v/>
      </c>
      <c r="F11" s="8" t="str">
        <f ca="1">IFERROR(_xlfn.RANK.EQ(E11,E:E),"")</f>
        <v/>
      </c>
      <c r="G11" s="8"/>
      <c r="H11" s="9" t="str">
        <f ca="1">IFERROR(__xludf.dummyfunction("iferror(1000+INT(($N$4-(index(split(G12,"":""),1)*60+index(split(G12,"":""),2 )))/0.2+1)*$N$5,"""")"),"")</f>
        <v/>
      </c>
      <c r="I11" s="8" t="str">
        <f ca="1">IFERROR(_xlfn.RANK.EQ(H11,H:H),"")</f>
        <v/>
      </c>
      <c r="J11" s="22" t="str">
        <f t="shared" si="0"/>
        <v/>
      </c>
      <c r="K11" s="8" t="str">
        <f>IFERROR(_xlfn.RANK.EQ(J11,J:J),"")</f>
        <v/>
      </c>
      <c r="L11" s="8"/>
    </row>
    <row r="12" spans="1:14" ht="14.5" x14ac:dyDescent="0.35">
      <c r="A12" s="8"/>
      <c r="B12" s="8"/>
      <c r="C12" s="8"/>
      <c r="D12" s="8"/>
      <c r="E12" s="9" t="str">
        <f ca="1">IFERROR(__xludf.dummyfunction("iferror(1000+INT(($N$2-(index(split(D13,"":""),1)*60+index(split(D13,"":""),2 )))/0.2+1)*$N$3,"""")"),"")</f>
        <v/>
      </c>
      <c r="F12" s="8" t="str">
        <f ca="1">IFERROR(_xlfn.RANK.EQ(E12,E:E),"")</f>
        <v/>
      </c>
      <c r="G12" s="8"/>
      <c r="H12" s="9" t="str">
        <f ca="1">IFERROR(__xludf.dummyfunction("iferror(1000+INT(($N$4-(index(split(G13,"":""),1)*60+index(split(G13,"":""),2 )))/0.2+1)*$N$5,"""")"),"")</f>
        <v/>
      </c>
      <c r="I12" s="8" t="str">
        <f ca="1">IFERROR(_xlfn.RANK.EQ(H12,H:H),"")</f>
        <v/>
      </c>
      <c r="J12" s="22" t="str">
        <f t="shared" si="0"/>
        <v/>
      </c>
      <c r="K12" s="8" t="str">
        <f>IFERROR(_xlfn.RANK.EQ(J12,J:J),"")</f>
        <v/>
      </c>
      <c r="L12" s="8"/>
    </row>
    <row r="13" spans="1:14" ht="14.5" x14ac:dyDescent="0.35">
      <c r="A13" s="8"/>
      <c r="B13" s="8"/>
      <c r="C13" s="8"/>
      <c r="D13" s="8"/>
      <c r="E13" s="9" t="str">
        <f ca="1">IFERROR(__xludf.dummyfunction("iferror(1000+INT(($N$2-(index(split(D14,"":""),1)*60+index(split(D14,"":""),2 )))/0.2+1)*$N$3,"""")"),"")</f>
        <v/>
      </c>
      <c r="F13" s="8" t="str">
        <f ca="1">IFERROR(_xlfn.RANK.EQ(E13,E:E),"")</f>
        <v/>
      </c>
      <c r="G13" s="8"/>
      <c r="H13" s="9" t="str">
        <f ca="1">IFERROR(__xludf.dummyfunction("iferror(1000+INT(($N$4-(index(split(G14,"":""),1)*60+index(split(G14,"":""),2 )))/0.2+1)*$N$5,"""")"),"")</f>
        <v/>
      </c>
      <c r="I13" s="8" t="str">
        <f ca="1">IFERROR(_xlfn.RANK.EQ(H13,H:H),"")</f>
        <v/>
      </c>
      <c r="J13" s="22" t="str">
        <f t="shared" si="0"/>
        <v/>
      </c>
      <c r="K13" s="8" t="str">
        <f>IFERROR(_xlfn.RANK.EQ(J13,J:J),"")</f>
        <v/>
      </c>
      <c r="L13" s="8"/>
    </row>
    <row r="14" spans="1:14" ht="14.5" x14ac:dyDescent="0.35">
      <c r="A14" s="8"/>
      <c r="B14" s="8"/>
      <c r="C14" s="8"/>
      <c r="D14" s="8"/>
      <c r="E14" s="9" t="str">
        <f ca="1">IFERROR(__xludf.dummyfunction("iferror(1000+INT(($N$2-(index(split(D15,"":""),1)*60+index(split(D15,"":""),2 )))/0.2+1)*$N$3,"""")"),"")</f>
        <v/>
      </c>
      <c r="F14" s="8" t="str">
        <f ca="1">IFERROR(_xlfn.RANK.EQ(E14,E:E),"")</f>
        <v/>
      </c>
      <c r="G14" s="8"/>
      <c r="H14" s="9" t="str">
        <f ca="1">IFERROR(__xludf.dummyfunction("iferror(1000+INT(($N$4-(index(split(G15,"":""),1)*60+index(split(G15,"":""),2 )))/0.2+1)*$N$5,"""")"),"")</f>
        <v/>
      </c>
      <c r="I14" s="8" t="str">
        <f ca="1">IFERROR(_xlfn.RANK.EQ(H14,H:H),"")</f>
        <v/>
      </c>
      <c r="J14" s="22" t="str">
        <f t="shared" si="0"/>
        <v/>
      </c>
      <c r="K14" s="8" t="str">
        <f>IFERROR(_xlfn.RANK.EQ(J14,J:J),"")</f>
        <v/>
      </c>
      <c r="L14" s="8"/>
    </row>
    <row r="15" spans="1:14" ht="14.5" x14ac:dyDescent="0.35">
      <c r="A15" s="8"/>
      <c r="B15" s="8"/>
      <c r="C15" s="8"/>
      <c r="D15" s="8"/>
      <c r="E15" s="9" t="str">
        <f ca="1">IFERROR(__xludf.dummyfunction("iferror(1000+INT(($N$2-(index(split(D16,"":""),1)*60+index(split(D16,"":""),2 )))/0.2+1)*$N$3,"""")"),"")</f>
        <v/>
      </c>
      <c r="F15" s="8" t="str">
        <f ca="1">IFERROR(_xlfn.RANK.EQ(E15,E:E),"")</f>
        <v/>
      </c>
      <c r="G15" s="8"/>
      <c r="H15" s="9" t="str">
        <f ca="1">IFERROR(__xludf.dummyfunction("iferror(1000+INT(($N$4-(index(split(G16,"":""),1)*60+index(split(G16,"":""),2 )))/0.2+1)*$N$5,"""")"),"")</f>
        <v/>
      </c>
      <c r="I15" s="8" t="str">
        <f ca="1">IFERROR(_xlfn.RANK.EQ(H15,H:H),"")</f>
        <v/>
      </c>
      <c r="J15" s="22" t="str">
        <f t="shared" si="0"/>
        <v/>
      </c>
      <c r="K15" s="8" t="str">
        <f>IFERROR(_xlfn.RANK.EQ(J15,J:J),"")</f>
        <v/>
      </c>
      <c r="L15" s="8"/>
    </row>
    <row r="16" spans="1:14" ht="14.5" x14ac:dyDescent="0.35">
      <c r="A16" s="8"/>
      <c r="B16" s="8"/>
      <c r="C16" s="8"/>
      <c r="D16" s="8"/>
      <c r="E16" s="9" t="str">
        <f ca="1">IFERROR(__xludf.dummyfunction("iferror(1000+INT(($N$2-(index(split(D17,"":""),1)*60+index(split(D17,"":""),2 )))/0.2+1)*$N$3,"""")"),"")</f>
        <v/>
      </c>
      <c r="F16" s="8" t="str">
        <f ca="1">IFERROR(_xlfn.RANK.EQ(E16,E:E),"")</f>
        <v/>
      </c>
      <c r="G16" s="8"/>
      <c r="H16" s="9" t="str">
        <f ca="1">IFERROR(__xludf.dummyfunction("iferror(1000+INT(($N$4-(index(split(G17,"":""),1)*60+index(split(G17,"":""),2 )))/0.2+1)*$N$5,"""")"),"")</f>
        <v/>
      </c>
      <c r="I16" s="8" t="str">
        <f ca="1">IFERROR(_xlfn.RANK.EQ(H16,H:H),"")</f>
        <v/>
      </c>
      <c r="J16" s="22" t="str">
        <f t="shared" si="0"/>
        <v/>
      </c>
      <c r="K16" s="8" t="str">
        <f>IFERROR(_xlfn.RANK.EQ(J16,J:J),"")</f>
        <v/>
      </c>
      <c r="L16" s="8"/>
    </row>
    <row r="17" spans="1:12" ht="14.5" x14ac:dyDescent="0.35">
      <c r="A17" s="8"/>
      <c r="B17" s="8"/>
      <c r="C17" s="8"/>
      <c r="D17" s="8"/>
      <c r="E17" s="9" t="str">
        <f ca="1">IFERROR(__xludf.dummyfunction("iferror(1000+INT(($N$2-(index(split(D18,"":""),1)*60+index(split(D18,"":""),2 )))/0.2+1)*$N$3,"""")"),"")</f>
        <v/>
      </c>
      <c r="F17" s="8" t="str">
        <f ca="1">IFERROR(_xlfn.RANK.EQ(E17,E:E),"")</f>
        <v/>
      </c>
      <c r="G17" s="8"/>
      <c r="H17" s="9" t="str">
        <f ca="1">IFERROR(__xludf.dummyfunction("iferror(1000+INT(($N$4-(index(split(G18,"":""),1)*60+index(split(G18,"":""),2 )))/0.2+1)*$N$5,"""")"),"")</f>
        <v/>
      </c>
      <c r="I17" s="8" t="str">
        <f ca="1">IFERROR(_xlfn.RANK.EQ(H17,H:H),"")</f>
        <v/>
      </c>
      <c r="J17" s="22" t="str">
        <f t="shared" si="0"/>
        <v/>
      </c>
      <c r="K17" s="8" t="str">
        <f>IFERROR(_xlfn.RANK.EQ(J17,J:J),"")</f>
        <v/>
      </c>
      <c r="L17" s="8"/>
    </row>
    <row r="18" spans="1:12" ht="14.5" x14ac:dyDescent="0.35">
      <c r="A18" s="8"/>
      <c r="B18" s="8"/>
      <c r="C18" s="8"/>
      <c r="D18" s="8"/>
      <c r="E18" s="9" t="str">
        <f ca="1">IFERROR(__xludf.dummyfunction("iferror(1000+INT(($N$2-(index(split(D19,"":""),1)*60+index(split(D19,"":""),2 )))/0.2+1)*$N$3,"""")"),"")</f>
        <v/>
      </c>
      <c r="F18" s="8" t="str">
        <f ca="1">IFERROR(_xlfn.RANK.EQ(E18,E:E),"")</f>
        <v/>
      </c>
      <c r="G18" s="8"/>
      <c r="H18" s="9" t="str">
        <f ca="1">IFERROR(__xludf.dummyfunction("iferror(1000+INT(($N$4-(index(split(G19,"":""),1)*60+index(split(G19,"":""),2 )))/0.2+1)*$N$5,"""")"),"")</f>
        <v/>
      </c>
      <c r="I18" s="8" t="str">
        <f ca="1">IFERROR(_xlfn.RANK.EQ(H18,H:H),"")</f>
        <v/>
      </c>
      <c r="J18" s="22" t="str">
        <f t="shared" si="0"/>
        <v/>
      </c>
      <c r="K18" s="8" t="str">
        <f>IFERROR(_xlfn.RANK.EQ(J18,J:J),"")</f>
        <v/>
      </c>
      <c r="L18" s="8"/>
    </row>
    <row r="19" spans="1:12" ht="14.5" x14ac:dyDescent="0.35">
      <c r="A19" s="8"/>
      <c r="B19" s="8"/>
      <c r="C19" s="8"/>
      <c r="D19" s="8"/>
      <c r="E19" s="9" t="str">
        <f ca="1">IFERROR(__xludf.dummyfunction("iferror(1000+INT(($N$2-(index(split(D20,"":""),1)*60+index(split(D20,"":""),2 )))/0.2+1)*$N$3,"""")"),"")</f>
        <v/>
      </c>
      <c r="F19" s="8" t="str">
        <f ca="1">IFERROR(_xlfn.RANK.EQ(E19,E:E),"")</f>
        <v/>
      </c>
      <c r="G19" s="8"/>
      <c r="H19" s="9" t="str">
        <f ca="1">IFERROR(__xludf.dummyfunction("iferror(1000+INT(($N$4-(index(split(G20,"":""),1)*60+index(split(G20,"":""),2 )))/0.2+1)*$N$5,"""")"),"")</f>
        <v/>
      </c>
      <c r="I19" s="8" t="str">
        <f ca="1">IFERROR(_xlfn.RANK.EQ(H19,H:H),"")</f>
        <v/>
      </c>
      <c r="J19" s="22" t="str">
        <f t="shared" si="0"/>
        <v/>
      </c>
      <c r="K19" s="8" t="str">
        <f>IFERROR(_xlfn.RANK.EQ(J19,J:J),"")</f>
        <v/>
      </c>
      <c r="L19" s="8"/>
    </row>
    <row r="20" spans="1:12" ht="14.5" x14ac:dyDescent="0.35">
      <c r="A20" s="8"/>
      <c r="B20" s="8"/>
      <c r="C20" s="8"/>
      <c r="D20" s="8"/>
      <c r="E20" s="9" t="str">
        <f ca="1">IFERROR(__xludf.dummyfunction("iferror(1000+INT(($N$2-(index(split(D21,"":""),1)*60+index(split(D21,"":""),2 )))/0.2+1)*$N$3,"""")"),"")</f>
        <v/>
      </c>
      <c r="F20" s="8" t="str">
        <f ca="1">IFERROR(_xlfn.RANK.EQ(E20,E:E),"")</f>
        <v/>
      </c>
      <c r="G20" s="8"/>
      <c r="H20" s="9" t="str">
        <f ca="1">IFERROR(__xludf.dummyfunction("iferror(1000+INT(($N$4-(index(split(G21,"":""),1)*60+index(split(G21,"":""),2 )))/0.2+1)*$N$5,"""")"),"")</f>
        <v/>
      </c>
      <c r="I20" s="8" t="str">
        <f ca="1">IFERROR(_xlfn.RANK.EQ(H20,H:H),"")</f>
        <v/>
      </c>
      <c r="J20" s="22" t="str">
        <f t="shared" si="0"/>
        <v/>
      </c>
      <c r="K20" s="8" t="str">
        <f>IFERROR(_xlfn.RANK.EQ(J20,J:J),"")</f>
        <v/>
      </c>
      <c r="L20" s="8"/>
    </row>
    <row r="21" spans="1:12" ht="14.5" x14ac:dyDescent="0.35">
      <c r="A21" s="8"/>
      <c r="B21" s="8"/>
      <c r="C21" s="8"/>
      <c r="D21" s="8"/>
      <c r="E21" s="9" t="str">
        <f ca="1">IFERROR(__xludf.dummyfunction("iferror(1000+INT(($N$2-(index(split(D22,"":""),1)*60+index(split(D22,"":""),2 )))/0.2+1)*$N$3,"""")"),"")</f>
        <v/>
      </c>
      <c r="F21" s="8" t="str">
        <f ca="1">IFERROR(_xlfn.RANK.EQ(E21,E:E),"")</f>
        <v/>
      </c>
      <c r="G21" s="8"/>
      <c r="H21" s="9" t="str">
        <f ca="1">IFERROR(__xludf.dummyfunction("iferror(1000+INT(($N$4-(index(split(G22,"":""),1)*60+index(split(G22,"":""),2 )))/0.2+1)*$N$5,"""")"),"")</f>
        <v/>
      </c>
      <c r="I21" s="8" t="str">
        <f ca="1">IFERROR(_xlfn.RANK.EQ(H21,H:H),"")</f>
        <v/>
      </c>
      <c r="J21" s="22" t="str">
        <f t="shared" si="0"/>
        <v/>
      </c>
      <c r="K21" s="8" t="str">
        <f>IFERROR(_xlfn.RANK.EQ(J21,J:J),"")</f>
        <v/>
      </c>
      <c r="L21" s="8"/>
    </row>
    <row r="22" spans="1:12" ht="14.5" x14ac:dyDescent="0.35">
      <c r="A22" s="8"/>
      <c r="B22" s="8"/>
      <c r="C22" s="8"/>
      <c r="D22" s="8"/>
      <c r="E22" s="9" t="str">
        <f ca="1">IFERROR(__xludf.dummyfunction("iferror(1000+INT(($N$2-(index(split(D23,"":""),1)*60+index(split(D23,"":""),2 )))/0.2+1)*$N$3,"""")"),"")</f>
        <v/>
      </c>
      <c r="F22" s="8" t="str">
        <f ca="1">IFERROR(_xlfn.RANK.EQ(E22,E:E),"")</f>
        <v/>
      </c>
      <c r="G22" s="8"/>
      <c r="H22" s="9" t="str">
        <f ca="1">IFERROR(__xludf.dummyfunction("iferror(1000+INT(($N$4-(index(split(G23,"":""),1)*60+index(split(G23,"":""),2 )))/0.2+1)*$N$5,"""")"),"")</f>
        <v/>
      </c>
      <c r="I22" s="8" t="str">
        <f ca="1">IFERROR(_xlfn.RANK.EQ(H22,H:H),"")</f>
        <v/>
      </c>
      <c r="J22" s="22" t="str">
        <f t="shared" si="0"/>
        <v/>
      </c>
      <c r="K22" s="8" t="str">
        <f>IFERROR(_xlfn.RANK.EQ(J22,J:J),"")</f>
        <v/>
      </c>
      <c r="L22" s="8"/>
    </row>
    <row r="23" spans="1:12" ht="14.5" x14ac:dyDescent="0.35">
      <c r="A23" s="8"/>
      <c r="B23" s="8"/>
      <c r="C23" s="8"/>
      <c r="D23" s="8"/>
      <c r="E23" s="9" t="str">
        <f ca="1">IFERROR(__xludf.dummyfunction("iferror(1000+INT(($N$2-(index(split(D24,"":""),1)*60+index(split(D24,"":""),2 )))/0.2+1)*$N$3,"""")"),"")</f>
        <v/>
      </c>
      <c r="F23" s="8" t="str">
        <f ca="1">IFERROR(_xlfn.RANK.EQ(E23,E:E),"")</f>
        <v/>
      </c>
      <c r="G23" s="8"/>
      <c r="H23" s="9" t="str">
        <f ca="1">IFERROR(__xludf.dummyfunction("iferror(1000+INT(($N$4-(index(split(G24,"":""),1)*60+index(split(G24,"":""),2 )))/0.2+1)*$N$5,"""")"),"")</f>
        <v/>
      </c>
      <c r="I23" s="8" t="str">
        <f ca="1">IFERROR(_xlfn.RANK.EQ(H23,H:H),"")</f>
        <v/>
      </c>
      <c r="J23" s="22" t="str">
        <f t="shared" si="0"/>
        <v/>
      </c>
      <c r="K23" s="8" t="str">
        <f>IFERROR(_xlfn.RANK.EQ(J23,J:J),"")</f>
        <v/>
      </c>
      <c r="L23" s="8"/>
    </row>
    <row r="24" spans="1:12" ht="14.5" x14ac:dyDescent="0.35">
      <c r="A24" s="8"/>
      <c r="B24" s="8"/>
      <c r="C24" s="8"/>
      <c r="D24" s="8"/>
      <c r="E24" s="9" t="str">
        <f ca="1">IFERROR(__xludf.dummyfunction("iferror(1000+INT(($N$2-(index(split(D25,"":""),1)*60+index(split(D25,"":""),2 )))/0.2+1)*$N$3,"""")"),"")</f>
        <v/>
      </c>
      <c r="F24" s="8" t="str">
        <f ca="1">IFERROR(_xlfn.RANK.EQ(E24,E:E),"")</f>
        <v/>
      </c>
      <c r="G24" s="8"/>
      <c r="H24" s="9" t="str">
        <f ca="1">IFERROR(__xludf.dummyfunction("iferror(1000+INT(($N$4-(index(split(G25,"":""),1)*60+index(split(G25,"":""),2 )))/0.2+1)*$N$5,"""")"),"")</f>
        <v/>
      </c>
      <c r="I24" s="8" t="str">
        <f ca="1">IFERROR(_xlfn.RANK.EQ(H24,H:H),"")</f>
        <v/>
      </c>
      <c r="J24" s="22" t="str">
        <f t="shared" si="0"/>
        <v/>
      </c>
      <c r="K24" s="8" t="str">
        <f>IFERROR(_xlfn.RANK.EQ(J24,J:J),"")</f>
        <v/>
      </c>
      <c r="L24" s="8"/>
    </row>
    <row r="25" spans="1:12" ht="14.5" x14ac:dyDescent="0.35">
      <c r="A25" s="8"/>
      <c r="B25" s="8"/>
      <c r="C25" s="8"/>
      <c r="D25" s="8"/>
      <c r="E25" s="9" t="str">
        <f ca="1">IFERROR(__xludf.dummyfunction("iferror(1000+INT(($N$2-(index(split(D26,"":""),1)*60+index(split(D26,"":""),2 )))/0.2+1)*$N$3,"""")"),"")</f>
        <v/>
      </c>
      <c r="F25" s="8" t="str">
        <f ca="1">IFERROR(_xlfn.RANK.EQ(E25,E:E),"")</f>
        <v/>
      </c>
      <c r="G25" s="8"/>
      <c r="H25" s="9" t="str">
        <f ca="1">IFERROR(__xludf.dummyfunction("iferror(1000+INT(($N$4-(index(split(G26,"":""),1)*60+index(split(G26,"":""),2 )))/0.2+1)*$N$5,"""")"),"")</f>
        <v/>
      </c>
      <c r="I25" s="8" t="str">
        <f ca="1">IFERROR(_xlfn.RANK.EQ(H25,H:H),"")</f>
        <v/>
      </c>
      <c r="J25" s="22" t="str">
        <f t="shared" si="0"/>
        <v/>
      </c>
      <c r="K25" s="8" t="str">
        <f>IFERROR(_xlfn.RANK.EQ(J25,J:J),"")</f>
        <v/>
      </c>
      <c r="L25" s="8"/>
    </row>
    <row r="26" spans="1:12" ht="14.5" x14ac:dyDescent="0.35">
      <c r="A26" s="8"/>
      <c r="B26" s="8"/>
      <c r="C26" s="8"/>
      <c r="D26" s="8"/>
      <c r="E26" s="9" t="str">
        <f ca="1">IFERROR(__xludf.dummyfunction("iferror(1000+INT(($N$2-(index(split(D27,"":""),1)*60+index(split(D27,"":""),2 )))/0.2+1)*$N$3,"""")"),"")</f>
        <v/>
      </c>
      <c r="F26" s="8" t="str">
        <f ca="1">IFERROR(_xlfn.RANK.EQ(E26,E:E),"")</f>
        <v/>
      </c>
      <c r="G26" s="8"/>
      <c r="H26" s="9" t="str">
        <f ca="1">IFERROR(__xludf.dummyfunction("iferror(1000+INT(($N$4-(index(split(G27,"":""),1)*60+index(split(G27,"":""),2 )))/0.2+1)*$N$5,"""")"),"")</f>
        <v/>
      </c>
      <c r="I26" s="8" t="str">
        <f ca="1">IFERROR(_xlfn.RANK.EQ(H26,H:H),"")</f>
        <v/>
      </c>
      <c r="J26" s="22" t="str">
        <f t="shared" si="0"/>
        <v/>
      </c>
      <c r="K26" s="8" t="str">
        <f>IFERROR(_xlfn.RANK.EQ(J26,J:J),"")</f>
        <v/>
      </c>
      <c r="L26" s="8"/>
    </row>
    <row r="27" spans="1:12" ht="14.5" x14ac:dyDescent="0.35">
      <c r="A27" s="8"/>
      <c r="B27" s="8"/>
      <c r="C27" s="8"/>
      <c r="D27" s="8"/>
      <c r="E27" s="9" t="str">
        <f ca="1">IFERROR(__xludf.dummyfunction("iferror(1000+INT(($N$2-(index(split(D28,"":""),1)*60+index(split(D28,"":""),2 )))/0.2+1)*$N$3,"""")"),"")</f>
        <v/>
      </c>
      <c r="F27" s="8" t="str">
        <f ca="1">IFERROR(_xlfn.RANK.EQ(E27,E:E),"")</f>
        <v/>
      </c>
      <c r="G27" s="8"/>
      <c r="H27" s="9" t="str">
        <f ca="1">IFERROR(__xludf.dummyfunction("iferror(1000+INT(($N$4-(index(split(G28,"":""),1)*60+index(split(G28,"":""),2 )))/0.2+1)*$N$5,"""")"),"")</f>
        <v/>
      </c>
      <c r="I27" s="8" t="str">
        <f ca="1">IFERROR(_xlfn.RANK.EQ(H27,H:H),"")</f>
        <v/>
      </c>
      <c r="J27" s="22" t="str">
        <f t="shared" si="0"/>
        <v/>
      </c>
      <c r="K27" s="8" t="str">
        <f>IFERROR(_xlfn.RANK.EQ(J27,J:J),"")</f>
        <v/>
      </c>
      <c r="L27" s="8"/>
    </row>
    <row r="28" spans="1:12" ht="14.5" x14ac:dyDescent="0.35">
      <c r="A28" s="8"/>
      <c r="B28" s="8"/>
      <c r="C28" s="8"/>
      <c r="D28" s="8"/>
      <c r="E28" s="9" t="str">
        <f ca="1">IFERROR(__xludf.dummyfunction("iferror(1000+INT(($N$2-(index(split(D29,"":""),1)*60+index(split(D29,"":""),2 )))/0.2+1)*$N$3,"""")"),"")</f>
        <v/>
      </c>
      <c r="F28" s="8" t="str">
        <f ca="1">IFERROR(_xlfn.RANK.EQ(E28,E:E),"")</f>
        <v/>
      </c>
      <c r="G28" s="8"/>
      <c r="H28" s="9" t="str">
        <f ca="1">IFERROR(__xludf.dummyfunction("iferror(1000+INT(($N$4-(index(split(G29,"":""),1)*60+index(split(G29,"":""),2 )))/0.2+1)*$N$5,"""")"),"")</f>
        <v/>
      </c>
      <c r="I28" s="8" t="str">
        <f ca="1">IFERROR(_xlfn.RANK.EQ(H28,H:H),"")</f>
        <v/>
      </c>
      <c r="J28" s="22" t="str">
        <f t="shared" si="0"/>
        <v/>
      </c>
      <c r="K28" s="8" t="str">
        <f>IFERROR(_xlfn.RANK.EQ(J28,J:J),"")</f>
        <v/>
      </c>
      <c r="L28" s="8"/>
    </row>
    <row r="29" spans="1:12" ht="14" x14ac:dyDescent="0.3">
      <c r="A29" s="8"/>
      <c r="B29" s="8"/>
      <c r="C29" s="8"/>
      <c r="D29" s="8"/>
      <c r="E29" s="9" t="str">
        <f ca="1">IFERROR(__xludf.dummyfunction("iferror(1000+INT(($N$2-(index(split(D30,"":""),1)*60+index(split(D30,"":""),2 )))/0.2+1)*$N$3,"""")"),"")</f>
        <v/>
      </c>
      <c r="F29" s="8" t="str">
        <f ca="1">IFERROR(_xlfn.RANK.EQ(E29,E:E),"")</f>
        <v/>
      </c>
      <c r="G29" s="8"/>
      <c r="H29" s="9" t="str">
        <f ca="1">IFERROR(__xludf.dummyfunction("iferror(1000+INT(($N$4-(index(split(G30,"":""),1)*60+index(split(G30,"":""),2 )))/0.2+1)*$N$5,"""")"),"")</f>
        <v/>
      </c>
      <c r="I29" s="8" t="str">
        <f ca="1">IFERROR(_xlfn.RANK.EQ(H29,H:H),"")</f>
        <v/>
      </c>
      <c r="J29" s="8" t="str">
        <f t="shared" ref="J29:J36" si="1">IF(AND(D29="", G29=""), "", E29+H29)</f>
        <v/>
      </c>
      <c r="K29" s="8" t="str">
        <f>IFERROR(_xlfn.RANK.EQ(J29,J:J),"")</f>
        <v/>
      </c>
      <c r="L29" s="8"/>
    </row>
    <row r="30" spans="1:12" ht="14" x14ac:dyDescent="0.3">
      <c r="A30" s="8"/>
      <c r="B30" s="8"/>
      <c r="C30" s="8"/>
      <c r="D30" s="8"/>
      <c r="E30" s="9" t="str">
        <f ca="1">IFERROR(__xludf.dummyfunction("iferror(1000+INT(($N$2-(index(split(D31,"":""),1)*60+index(split(D31,"":""),2 )))/0.2+1)*$N$3,"""")"),"")</f>
        <v/>
      </c>
      <c r="F30" s="8" t="str">
        <f ca="1">IFERROR(_xlfn.RANK.EQ(E30,E:E),"")</f>
        <v/>
      </c>
      <c r="G30" s="8"/>
      <c r="H30" s="9" t="str">
        <f ca="1">IFERROR(__xludf.dummyfunction("iferror(1000+INT(($N$4-(index(split(G31,"":""),1)*60+index(split(G31,"":""),2 )))/0.2+1)*$N$5,"""")"),"")</f>
        <v/>
      </c>
      <c r="I30" s="8" t="str">
        <f ca="1">IFERROR(_xlfn.RANK.EQ(H30,H:H),"")</f>
        <v/>
      </c>
      <c r="J30" s="8" t="str">
        <f t="shared" si="1"/>
        <v/>
      </c>
      <c r="K30" s="8" t="str">
        <f>IFERROR(_xlfn.RANK.EQ(J30,J:J),"")</f>
        <v/>
      </c>
      <c r="L30" s="8"/>
    </row>
    <row r="31" spans="1:12" ht="14" x14ac:dyDescent="0.3">
      <c r="A31" s="8"/>
      <c r="B31" s="8"/>
      <c r="C31" s="8"/>
      <c r="D31" s="8"/>
      <c r="E31" s="9" t="str">
        <f ca="1">IFERROR(__xludf.dummyfunction("iferror(1000+INT(($N$2-(index(split(D32,"":""),1)*60+index(split(D32,"":""),2 )))/0.2+1)*$N$3,"""")"),"")</f>
        <v/>
      </c>
      <c r="F31" s="8" t="str">
        <f ca="1">IFERROR(_xlfn.RANK.EQ(E31,E:E),"")</f>
        <v/>
      </c>
      <c r="G31" s="8"/>
      <c r="H31" s="9" t="str">
        <f ca="1">IFERROR(__xludf.dummyfunction("iferror(1000+INT(($N$4-(index(split(G32,"":""),1)*60+index(split(G32,"":""),2 )))/0.2+1)*$N$5,"""")"),"")</f>
        <v/>
      </c>
      <c r="I31" s="8" t="str">
        <f ca="1">IFERROR(_xlfn.RANK.EQ(H31,H:H),"")</f>
        <v/>
      </c>
      <c r="J31" s="8" t="str">
        <f t="shared" si="1"/>
        <v/>
      </c>
      <c r="K31" s="8" t="str">
        <f>IFERROR(_xlfn.RANK.EQ(J31,J:J),"")</f>
        <v/>
      </c>
      <c r="L31" s="8"/>
    </row>
    <row r="32" spans="1:12" ht="14" x14ac:dyDescent="0.3">
      <c r="A32" s="8"/>
      <c r="B32" s="8"/>
      <c r="C32" s="8"/>
      <c r="D32" s="8"/>
      <c r="E32" s="9" t="str">
        <f ca="1">IFERROR(__xludf.dummyfunction("iferror(1000+INT(($N$2-(index(split(D33,"":""),1)*60+index(split(D33,"":""),2 )))/0.2+1)*$N$3,"""")"),"")</f>
        <v/>
      </c>
      <c r="F32" s="8" t="str">
        <f ca="1">IFERROR(_xlfn.RANK.EQ(E32,E:E),"")</f>
        <v/>
      </c>
      <c r="G32" s="8"/>
      <c r="H32" s="9" t="str">
        <f ca="1">IFERROR(__xludf.dummyfunction("iferror(1000+INT(($N$4-(index(split(G33,"":""),1)*60+index(split(G33,"":""),2 )))/0.2+1)*$N$5,"""")"),"")</f>
        <v/>
      </c>
      <c r="I32" s="8" t="str">
        <f ca="1">IFERROR(_xlfn.RANK.EQ(H32,H:H),"")</f>
        <v/>
      </c>
      <c r="J32" s="8" t="str">
        <f t="shared" si="1"/>
        <v/>
      </c>
      <c r="K32" s="8" t="str">
        <f>IFERROR(_xlfn.RANK.EQ(J32,J:J),"")</f>
        <v/>
      </c>
      <c r="L32" s="8"/>
    </row>
    <row r="33" spans="1:12" ht="14" x14ac:dyDescent="0.3">
      <c r="A33" s="8"/>
      <c r="B33" s="8"/>
      <c r="C33" s="8"/>
      <c r="D33" s="8"/>
      <c r="E33" s="9" t="str">
        <f ca="1">IFERROR(__xludf.dummyfunction("iferror(1000+INT(($N$2-(index(split(D34,"":""),1)*60+index(split(D34,"":""),2 )))/0.2+1)*$N$3,"""")"),"")</f>
        <v/>
      </c>
      <c r="F33" s="8" t="str">
        <f ca="1">IFERROR(_xlfn.RANK.EQ(E33,E:E),"")</f>
        <v/>
      </c>
      <c r="G33" s="8"/>
      <c r="H33" s="9" t="str">
        <f ca="1">IFERROR(__xludf.dummyfunction("iferror(1000+INT(($N$4-(index(split(G34,"":""),1)*60+index(split(G34,"":""),2 )))/0.2+1)*$N$5,"""")"),"")</f>
        <v/>
      </c>
      <c r="I33" s="8" t="str">
        <f ca="1">IFERROR(_xlfn.RANK.EQ(H33,H:H),"")</f>
        <v/>
      </c>
      <c r="J33" s="8" t="str">
        <f t="shared" si="1"/>
        <v/>
      </c>
      <c r="K33" s="8" t="str">
        <f>IFERROR(_xlfn.RANK.EQ(J33,J:J),"")</f>
        <v/>
      </c>
      <c r="L33" s="8"/>
    </row>
    <row r="34" spans="1:12" ht="14" x14ac:dyDescent="0.3">
      <c r="A34" s="8"/>
      <c r="B34" s="8"/>
      <c r="C34" s="8"/>
      <c r="D34" s="8"/>
      <c r="E34" s="9" t="str">
        <f ca="1">IFERROR(__xludf.dummyfunction("iferror(1000+INT(($N$2-(index(split(D35,"":""),1)*60+index(split(D35,"":""),2 )))/0.2+1)*$N$3,"""")"),"")</f>
        <v/>
      </c>
      <c r="F34" s="8" t="str">
        <f ca="1">IFERROR(_xlfn.RANK.EQ(E34,E:E),"")</f>
        <v/>
      </c>
      <c r="G34" s="8"/>
      <c r="H34" s="9" t="str">
        <f ca="1">IFERROR(__xludf.dummyfunction("iferror(1000+INT(($N$4-(index(split(G35,"":""),1)*60+index(split(G35,"":""),2 )))/0.2+1)*$N$5,"""")"),"")</f>
        <v/>
      </c>
      <c r="I34" s="8" t="str">
        <f ca="1">IFERROR(_xlfn.RANK.EQ(H34,H:H),"")</f>
        <v/>
      </c>
      <c r="J34" s="8" t="str">
        <f t="shared" si="1"/>
        <v/>
      </c>
      <c r="K34" s="8" t="str">
        <f>IFERROR(_xlfn.RANK.EQ(J34,J:J),"")</f>
        <v/>
      </c>
      <c r="L34" s="8"/>
    </row>
    <row r="35" spans="1:12" ht="14" x14ac:dyDescent="0.3">
      <c r="A35" s="8"/>
      <c r="B35" s="8"/>
      <c r="C35" s="8"/>
      <c r="D35" s="8"/>
      <c r="E35" s="9" t="str">
        <f ca="1">IFERROR(__xludf.dummyfunction("iferror(1000+INT(($N$2-(index(split(D36,"":""),1)*60+index(split(D36,"":""),2 )))/0.2+1)*$N$3,"""")"),"")</f>
        <v/>
      </c>
      <c r="F35" s="8" t="str">
        <f ca="1">IFERROR(_xlfn.RANK.EQ(E35,E:E),"")</f>
        <v/>
      </c>
      <c r="G35" s="8"/>
      <c r="H35" s="9" t="str">
        <f ca="1">IFERROR(__xludf.dummyfunction("iferror(1000+INT(($N$4-(index(split(G36,"":""),1)*60+index(split(G36,"":""),2 )))/0.2+1)*$N$5,"""")"),"")</f>
        <v/>
      </c>
      <c r="I35" s="8" t="str">
        <f ca="1">IFERROR(_xlfn.RANK.EQ(H35,H:H),"")</f>
        <v/>
      </c>
      <c r="J35" s="8" t="str">
        <f t="shared" si="1"/>
        <v/>
      </c>
      <c r="K35" s="8" t="str">
        <f>IFERROR(_xlfn.RANK.EQ(J35,J:J),"")</f>
        <v/>
      </c>
      <c r="L35" s="8"/>
    </row>
    <row r="36" spans="1:12" ht="14" x14ac:dyDescent="0.3">
      <c r="A36" s="8"/>
      <c r="B36" s="8"/>
      <c r="C36" s="8"/>
      <c r="D36" s="8"/>
      <c r="E36" s="9" t="str">
        <f ca="1">IFERROR(__xludf.dummyfunction("iferror(1000+INT(($N$2-(index(split(D37,"":""),1)*60+index(split(D37,"":""),2 )))/0.2+1)*$N$3,"""")"),"")</f>
        <v/>
      </c>
      <c r="F36" s="8" t="str">
        <f ca="1">IFERROR(_xlfn.RANK.EQ(E36,E:E),"")</f>
        <v/>
      </c>
      <c r="G36" s="8"/>
      <c r="H36" s="9" t="str">
        <f ca="1">IFERROR(__xludf.dummyfunction("iferror(1000+INT(($N$4-(index(split(G37,"":""),1)*60+index(split(G37,"":""),2 )))/0.2+1)*$N$5,"""")"),"")</f>
        <v/>
      </c>
      <c r="I36" s="8" t="str">
        <f ca="1">IFERROR(_xlfn.RANK.EQ(H36,H:H),"")</f>
        <v/>
      </c>
      <c r="J36" s="8" t="str">
        <f t="shared" si="1"/>
        <v/>
      </c>
      <c r="K36" s="8" t="str">
        <f>IFERROR(_xlfn.RANK.EQ(J36,J:J),"")</f>
        <v/>
      </c>
      <c r="L36" s="8"/>
    </row>
    <row r="37" spans="1:12" ht="14" x14ac:dyDescent="0.3">
      <c r="A37" s="8"/>
      <c r="B37" s="8"/>
      <c r="C37" s="8"/>
      <c r="D37" s="8"/>
      <c r="E37" s="9" t="str">
        <f ca="1">IFERROR(__xludf.dummyfunction("iferror(1000+INT(($N$2-(index(split(D38,"":""),1)*60+index(split(D38,"":""),2 )))/0.2+1)*$N$3,"""")"),"")</f>
        <v/>
      </c>
      <c r="F37" s="8" t="str">
        <f ca="1">IFERROR(_xlfn.RANK.EQ(E37,E:E),"")</f>
        <v/>
      </c>
      <c r="G37" s="8"/>
      <c r="H37" s="9" t="str">
        <f ca="1">IFERROR(__xludf.dummyfunction("iferror(1000+INT(($N$4-(index(split(G38,"":""),1)*60+index(split(G38,"":""),2 )))/0.2+1)*$N$5,"""")"),"")</f>
        <v/>
      </c>
      <c r="I37" s="8" t="str">
        <f ca="1">IFERROR(_xlfn.RANK.EQ(H37,H:H),"")</f>
        <v/>
      </c>
      <c r="J37" s="8" t="str">
        <f t="shared" ref="J37:J68" si="2">IF(AND(D37="", G37=""), "", E37+H37)</f>
        <v/>
      </c>
      <c r="K37" s="8" t="str">
        <f>IFERROR(_xlfn.RANK.EQ(J37,J:J),"")</f>
        <v/>
      </c>
      <c r="L37" s="8"/>
    </row>
    <row r="38" spans="1:12" ht="14" x14ac:dyDescent="0.3">
      <c r="A38" s="8"/>
      <c r="B38" s="8"/>
      <c r="C38" s="8"/>
      <c r="D38" s="8"/>
      <c r="E38" s="9" t="str">
        <f ca="1">IFERROR(__xludf.dummyfunction("iferror(1000+INT(($N$2-(index(split(D39,"":""),1)*60+index(split(D39,"":""),2 )))/0.2+1)*$N$3,"""")"),"")</f>
        <v/>
      </c>
      <c r="F38" s="8" t="str">
        <f ca="1">IFERROR(_xlfn.RANK.EQ(E38,E:E),"")</f>
        <v/>
      </c>
      <c r="G38" s="8"/>
      <c r="H38" s="9" t="str">
        <f ca="1">IFERROR(__xludf.dummyfunction("iferror(1000+INT(($N$4-(index(split(G39,"":""),1)*60+index(split(G39,"":""),2 )))/0.2+1)*$N$5,"""")"),"")</f>
        <v/>
      </c>
      <c r="I38" s="8" t="str">
        <f ca="1">IFERROR(_xlfn.RANK.EQ(H38,H:H),"")</f>
        <v/>
      </c>
      <c r="J38" s="8" t="str">
        <f t="shared" si="2"/>
        <v/>
      </c>
      <c r="K38" s="8" t="str">
        <f>IFERROR(_xlfn.RANK.EQ(J38,J:J),"")</f>
        <v/>
      </c>
      <c r="L38" s="8"/>
    </row>
    <row r="39" spans="1:12" ht="14" x14ac:dyDescent="0.3">
      <c r="A39" s="8"/>
      <c r="B39" s="8"/>
      <c r="C39" s="8"/>
      <c r="D39" s="8"/>
      <c r="E39" s="9" t="str">
        <f ca="1">IFERROR(__xludf.dummyfunction("iferror(1000+INT(($N$2-(index(split(D40,"":""),1)*60+index(split(D40,"":""),2 )))/0.2+1)*$N$3,"""")"),"")</f>
        <v/>
      </c>
      <c r="F39" s="8" t="str">
        <f ca="1">IFERROR(_xlfn.RANK.EQ(E39,E:E),"")</f>
        <v/>
      </c>
      <c r="G39" s="8"/>
      <c r="H39" s="9" t="str">
        <f ca="1">IFERROR(__xludf.dummyfunction("iferror(1000+INT(($N$4-(index(split(G40,"":""),1)*60+index(split(G40,"":""),2 )))/0.2+1)*$N$5,"""")"),"")</f>
        <v/>
      </c>
      <c r="I39" s="8" t="str">
        <f ca="1">IFERROR(_xlfn.RANK.EQ(H39,H:H),"")</f>
        <v/>
      </c>
      <c r="J39" s="8" t="str">
        <f t="shared" si="2"/>
        <v/>
      </c>
      <c r="K39" s="8" t="str">
        <f>IFERROR(_xlfn.RANK.EQ(J39,J:J),"")</f>
        <v/>
      </c>
      <c r="L39" s="8"/>
    </row>
    <row r="40" spans="1:12" ht="14" x14ac:dyDescent="0.3">
      <c r="A40" s="8"/>
      <c r="B40" s="8"/>
      <c r="C40" s="8"/>
      <c r="D40" s="8"/>
      <c r="E40" s="9" t="str">
        <f ca="1">IFERROR(__xludf.dummyfunction("iferror(1000+INT(($N$2-(index(split(D41,"":""),1)*60+index(split(D41,"":""),2 )))/0.2+1)*$N$3,"""")"),"")</f>
        <v/>
      </c>
      <c r="F40" s="8" t="str">
        <f ca="1">IFERROR(_xlfn.RANK.EQ(E40,E:E),"")</f>
        <v/>
      </c>
      <c r="G40" s="8"/>
      <c r="H40" s="9" t="str">
        <f ca="1">IFERROR(__xludf.dummyfunction("iferror(1000+INT(($N$4-(index(split(G41,"":""),1)*60+index(split(G41,"":""),2 )))/0.2+1)*$N$5,"""")"),"")</f>
        <v/>
      </c>
      <c r="I40" s="8" t="str">
        <f ca="1">IFERROR(_xlfn.RANK.EQ(H40,H:H),"")</f>
        <v/>
      </c>
      <c r="J40" s="8" t="str">
        <f t="shared" si="2"/>
        <v/>
      </c>
      <c r="K40" s="8" t="str">
        <f>IFERROR(_xlfn.RANK.EQ(J40,J:J),"")</f>
        <v/>
      </c>
      <c r="L40" s="8"/>
    </row>
    <row r="41" spans="1:12" ht="14" x14ac:dyDescent="0.3">
      <c r="A41" s="8"/>
      <c r="B41" s="8"/>
      <c r="C41" s="8"/>
      <c r="D41" s="8"/>
      <c r="E41" s="9" t="str">
        <f ca="1">IFERROR(__xludf.dummyfunction("iferror(1000+INT(($N$2-(index(split(D42,"":""),1)*60+index(split(D42,"":""),2 )))/0.2+1)*$N$3,"""")"),"")</f>
        <v/>
      </c>
      <c r="F41" s="8" t="str">
        <f ca="1">IFERROR(_xlfn.RANK.EQ(E41,E:E),"")</f>
        <v/>
      </c>
      <c r="G41" s="8"/>
      <c r="H41" s="9" t="str">
        <f ca="1">IFERROR(__xludf.dummyfunction("iferror(1000+INT(($N$4-(index(split(G42,"":""),1)*60+index(split(G42,"":""),2 )))/0.2+1)*$N$5,"""")"),"")</f>
        <v/>
      </c>
      <c r="I41" s="8" t="str">
        <f ca="1">IFERROR(_xlfn.RANK.EQ(H41,H:H),"")</f>
        <v/>
      </c>
      <c r="J41" s="8" t="str">
        <f t="shared" si="2"/>
        <v/>
      </c>
      <c r="K41" s="8" t="str">
        <f>IFERROR(_xlfn.RANK.EQ(J41,J:J),"")</f>
        <v/>
      </c>
      <c r="L41" s="8"/>
    </row>
    <row r="42" spans="1:12" ht="14" x14ac:dyDescent="0.3">
      <c r="A42" s="8"/>
      <c r="B42" s="8"/>
      <c r="C42" s="8"/>
      <c r="D42" s="8"/>
      <c r="E42" s="9" t="str">
        <f ca="1">IFERROR(__xludf.dummyfunction("iferror(1000+INT(($N$2-(index(split(D43,"":""),1)*60+index(split(D43,"":""),2 )))/0.2+1)*$N$3,"""")"),"")</f>
        <v/>
      </c>
      <c r="F42" s="8" t="str">
        <f ca="1">IFERROR(_xlfn.RANK.EQ(E42,E:E),"")</f>
        <v/>
      </c>
      <c r="G42" s="8"/>
      <c r="H42" s="9" t="str">
        <f ca="1">IFERROR(__xludf.dummyfunction("iferror(1000+INT(($N$4-(index(split(G43,"":""),1)*60+index(split(G43,"":""),2 )))/0.2+1)*$N$5,"""")"),"")</f>
        <v/>
      </c>
      <c r="I42" s="8" t="str">
        <f ca="1">IFERROR(_xlfn.RANK.EQ(H42,H:H),"")</f>
        <v/>
      </c>
      <c r="J42" s="8" t="str">
        <f t="shared" si="2"/>
        <v/>
      </c>
      <c r="K42" s="8" t="str">
        <f>IFERROR(_xlfn.RANK.EQ(J42,J:J),"")</f>
        <v/>
      </c>
      <c r="L42" s="8"/>
    </row>
    <row r="43" spans="1:12" ht="14" x14ac:dyDescent="0.3">
      <c r="A43" s="8"/>
      <c r="B43" s="8"/>
      <c r="C43" s="8"/>
      <c r="D43" s="8"/>
      <c r="E43" s="9" t="str">
        <f ca="1">IFERROR(__xludf.dummyfunction("iferror(1000+INT(($N$2-(index(split(D44,"":""),1)*60+index(split(D44,"":""),2 )))/0.2+1)*$N$3,"""")"),"")</f>
        <v/>
      </c>
      <c r="F43" s="8" t="str">
        <f ca="1">IFERROR(_xlfn.RANK.EQ(E43,E:E),"")</f>
        <v/>
      </c>
      <c r="G43" s="8"/>
      <c r="H43" s="9" t="str">
        <f ca="1">IFERROR(__xludf.dummyfunction("iferror(1000+INT(($N$4-(index(split(G44,"":""),1)*60+index(split(G44,"":""),2 )))/0.2+1)*$N$5,"""")"),"")</f>
        <v/>
      </c>
      <c r="I43" s="8" t="str">
        <f ca="1">IFERROR(_xlfn.RANK.EQ(H43,H:H),"")</f>
        <v/>
      </c>
      <c r="J43" s="8" t="str">
        <f t="shared" si="2"/>
        <v/>
      </c>
      <c r="K43" s="8" t="str">
        <f>IFERROR(_xlfn.RANK.EQ(J43,J:J),"")</f>
        <v/>
      </c>
      <c r="L43" s="8"/>
    </row>
    <row r="44" spans="1:12" ht="14" x14ac:dyDescent="0.3">
      <c r="A44" s="8"/>
      <c r="B44" s="8"/>
      <c r="C44" s="8"/>
      <c r="D44" s="8"/>
      <c r="E44" s="9" t="str">
        <f ca="1">IFERROR(__xludf.dummyfunction("iferror(1000+INT(($N$2-(index(split(D45,"":""),1)*60+index(split(D45,"":""),2 )))/0.2+1)*$N$3,"""")"),"")</f>
        <v/>
      </c>
      <c r="F44" s="8" t="str">
        <f ca="1">IFERROR(_xlfn.RANK.EQ(E44,E:E),"")</f>
        <v/>
      </c>
      <c r="G44" s="8"/>
      <c r="H44" s="9" t="str">
        <f ca="1">IFERROR(__xludf.dummyfunction("iferror(1000+INT(($N$4-(index(split(G45,"":""),1)*60+index(split(G45,"":""),2 )))/0.2+1)*$N$5,"""")"),"")</f>
        <v/>
      </c>
      <c r="I44" s="8" t="str">
        <f ca="1">IFERROR(_xlfn.RANK.EQ(H44,H:H),"")</f>
        <v/>
      </c>
      <c r="J44" s="8" t="str">
        <f t="shared" si="2"/>
        <v/>
      </c>
      <c r="K44" s="8" t="str">
        <f>IFERROR(_xlfn.RANK.EQ(J44,J:J),"")</f>
        <v/>
      </c>
      <c r="L44" s="8"/>
    </row>
    <row r="45" spans="1:12" ht="14" x14ac:dyDescent="0.3">
      <c r="A45" s="8"/>
      <c r="B45" s="8"/>
      <c r="C45" s="8"/>
      <c r="D45" s="8"/>
      <c r="E45" s="9" t="str">
        <f ca="1">IFERROR(__xludf.dummyfunction("iferror(1000+INT(($N$2-(index(split(D46,"":""),1)*60+index(split(D46,"":""),2 )))/0.2+1)*$N$3,"""")"),"")</f>
        <v/>
      </c>
      <c r="F45" s="8" t="str">
        <f ca="1">IFERROR(_xlfn.RANK.EQ(E45,E:E),"")</f>
        <v/>
      </c>
      <c r="G45" s="8"/>
      <c r="H45" s="9" t="str">
        <f ca="1">IFERROR(__xludf.dummyfunction("iferror(1000+INT(($N$4-(index(split(G46,"":""),1)*60+index(split(G46,"":""),2 )))/0.2+1)*$N$5,"""")"),"")</f>
        <v/>
      </c>
      <c r="I45" s="8" t="str">
        <f ca="1">IFERROR(_xlfn.RANK.EQ(H45,H:H),"")</f>
        <v/>
      </c>
      <c r="J45" s="8" t="str">
        <f t="shared" si="2"/>
        <v/>
      </c>
      <c r="K45" s="8" t="str">
        <f>IFERROR(_xlfn.RANK.EQ(J45,J:J),"")</f>
        <v/>
      </c>
      <c r="L45" s="8"/>
    </row>
    <row r="46" spans="1:12" ht="14" x14ac:dyDescent="0.3">
      <c r="A46" s="8"/>
      <c r="B46" s="8"/>
      <c r="C46" s="8"/>
      <c r="D46" s="8"/>
      <c r="E46" s="9" t="str">
        <f ca="1">IFERROR(__xludf.dummyfunction("iferror(1000+INT(($N$2-(index(split(D47,"":""),1)*60+index(split(D47,"":""),2 )))/0.2+1)*$N$3,"""")"),"")</f>
        <v/>
      </c>
      <c r="F46" s="8" t="str">
        <f ca="1">IFERROR(_xlfn.RANK.EQ(E46,E:E),"")</f>
        <v/>
      </c>
      <c r="G46" s="8"/>
      <c r="H46" s="9" t="str">
        <f ca="1">IFERROR(__xludf.dummyfunction("iferror(1000+INT(($N$4-(index(split(G47,"":""),1)*60+index(split(G47,"":""),2 )))/0.2+1)*$N$5,"""")"),"")</f>
        <v/>
      </c>
      <c r="I46" s="8" t="str">
        <f ca="1">IFERROR(_xlfn.RANK.EQ(H46,H:H),"")</f>
        <v/>
      </c>
      <c r="J46" s="8" t="str">
        <f t="shared" si="2"/>
        <v/>
      </c>
      <c r="K46" s="8" t="str">
        <f>IFERROR(_xlfn.RANK.EQ(J46,J:J),"")</f>
        <v/>
      </c>
      <c r="L46" s="8"/>
    </row>
    <row r="47" spans="1:12" ht="14" x14ac:dyDescent="0.3">
      <c r="A47" s="8"/>
      <c r="B47" s="8"/>
      <c r="C47" s="8"/>
      <c r="D47" s="8"/>
      <c r="E47" s="9" t="str">
        <f ca="1">IFERROR(__xludf.dummyfunction("iferror(1000+INT(($N$2-(index(split(D48,"":""),1)*60+index(split(D48,"":""),2 )))/0.2+1)*$N$3,"""")"),"")</f>
        <v/>
      </c>
      <c r="F47" s="8" t="str">
        <f ca="1">IFERROR(_xlfn.RANK.EQ(E47,E:E),"")</f>
        <v/>
      </c>
      <c r="G47" s="8"/>
      <c r="H47" s="9" t="str">
        <f ca="1">IFERROR(__xludf.dummyfunction("iferror(1000+INT(($N$4-(index(split(G48,"":""),1)*60+index(split(G48,"":""),2 )))/0.2+1)*$N$5,"""")"),"")</f>
        <v/>
      </c>
      <c r="I47" s="8" t="str">
        <f ca="1">IFERROR(_xlfn.RANK.EQ(H47,H:H),"")</f>
        <v/>
      </c>
      <c r="J47" s="8" t="str">
        <f t="shared" si="2"/>
        <v/>
      </c>
      <c r="K47" s="8" t="str">
        <f>IFERROR(_xlfn.RANK.EQ(J47,J:J),"")</f>
        <v/>
      </c>
      <c r="L47" s="8"/>
    </row>
    <row r="48" spans="1:12" ht="14" x14ac:dyDescent="0.3">
      <c r="A48" s="8"/>
      <c r="B48" s="8"/>
      <c r="C48" s="8"/>
      <c r="D48" s="8"/>
      <c r="E48" s="9" t="str">
        <f ca="1">IFERROR(__xludf.dummyfunction("iferror(1000+INT(($N$2-(index(split(D49,"":""),1)*60+index(split(D49,"":""),2 )))/0.2+1)*$N$3,"""")"),"")</f>
        <v/>
      </c>
      <c r="F48" s="8" t="str">
        <f ca="1">IFERROR(_xlfn.RANK.EQ(E48,E:E),"")</f>
        <v/>
      </c>
      <c r="G48" s="8"/>
      <c r="H48" s="9" t="str">
        <f ca="1">IFERROR(__xludf.dummyfunction("iferror(1000+INT(($N$4-(index(split(G49,"":""),1)*60+index(split(G49,"":""),2 )))/0.2+1)*$N$5,"""")"),"")</f>
        <v/>
      </c>
      <c r="I48" s="8" t="str">
        <f ca="1">IFERROR(_xlfn.RANK.EQ(H48,H:H),"")</f>
        <v/>
      </c>
      <c r="J48" s="8" t="str">
        <f t="shared" si="2"/>
        <v/>
      </c>
      <c r="K48" s="8" t="str">
        <f>IFERROR(_xlfn.RANK.EQ(J48,J:J),"")</f>
        <v/>
      </c>
      <c r="L48" s="8"/>
    </row>
    <row r="49" spans="1:12" ht="14" x14ac:dyDescent="0.3">
      <c r="A49" s="8"/>
      <c r="B49" s="8"/>
      <c r="C49" s="8"/>
      <c r="D49" s="8"/>
      <c r="E49" s="9" t="str">
        <f ca="1">IFERROR(__xludf.dummyfunction("iferror(1000+INT(($N$2-(index(split(D50,"":""),1)*60+index(split(D50,"":""),2 )))/0.2+1)*$N$3,"""")"),"")</f>
        <v/>
      </c>
      <c r="F49" s="8" t="str">
        <f ca="1">IFERROR(_xlfn.RANK.EQ(E49,E:E),"")</f>
        <v/>
      </c>
      <c r="G49" s="8"/>
      <c r="H49" s="9" t="str">
        <f ca="1">IFERROR(__xludf.dummyfunction("iferror(1000+INT(($N$4-(index(split(G50,"":""),1)*60+index(split(G50,"":""),2 )))/0.2+1)*$N$5,"""")"),"")</f>
        <v/>
      </c>
      <c r="I49" s="8" t="str">
        <f ca="1">IFERROR(_xlfn.RANK.EQ(H49,H:H),"")</f>
        <v/>
      </c>
      <c r="J49" s="8" t="str">
        <f t="shared" si="2"/>
        <v/>
      </c>
      <c r="K49" s="8" t="str">
        <f>IFERROR(_xlfn.RANK.EQ(J49,J:J),"")</f>
        <v/>
      </c>
      <c r="L49" s="8"/>
    </row>
    <row r="50" spans="1:12" ht="14" x14ac:dyDescent="0.3">
      <c r="A50" s="8"/>
      <c r="B50" s="8"/>
      <c r="C50" s="8"/>
      <c r="D50" s="8"/>
      <c r="E50" s="9" t="str">
        <f ca="1">IFERROR(__xludf.dummyfunction("iferror(1000+INT(($N$2-(index(split(D51,"":""),1)*60+index(split(D51,"":""),2 )))/0.2+1)*$N$3,"""")"),"")</f>
        <v/>
      </c>
      <c r="F50" s="8" t="str">
        <f ca="1">IFERROR(_xlfn.RANK.EQ(E50,E:E),"")</f>
        <v/>
      </c>
      <c r="G50" s="8"/>
      <c r="H50" s="9" t="str">
        <f ca="1">IFERROR(__xludf.dummyfunction("iferror(1000+INT(($N$4-(index(split(G51,"":""),1)*60+index(split(G51,"":""),2 )))/0.2+1)*$N$5,"""")"),"")</f>
        <v/>
      </c>
      <c r="I50" s="8" t="str">
        <f ca="1">IFERROR(_xlfn.RANK.EQ(H50,H:H),"")</f>
        <v/>
      </c>
      <c r="J50" s="8" t="str">
        <f t="shared" si="2"/>
        <v/>
      </c>
      <c r="K50" s="8" t="str">
        <f>IFERROR(_xlfn.RANK.EQ(J50,J:J),"")</f>
        <v/>
      </c>
      <c r="L50" s="8"/>
    </row>
    <row r="51" spans="1:12" ht="14" x14ac:dyDescent="0.3">
      <c r="A51" s="8"/>
      <c r="B51" s="8"/>
      <c r="C51" s="8"/>
      <c r="D51" s="8"/>
      <c r="E51" s="9" t="str">
        <f ca="1">IFERROR(__xludf.dummyfunction("iferror(1000+INT(($N$2-(index(split(D52,"":""),1)*60+index(split(D52,"":""),2 )))/0.2+1)*$N$3,"""")"),"")</f>
        <v/>
      </c>
      <c r="F51" s="8" t="str">
        <f ca="1">IFERROR(_xlfn.RANK.EQ(E51,E:E),"")</f>
        <v/>
      </c>
      <c r="G51" s="8"/>
      <c r="H51" s="9" t="str">
        <f ca="1">IFERROR(__xludf.dummyfunction("iferror(1000+INT(($N$4-(index(split(G52,"":""),1)*60+index(split(G52,"":""),2 )))/0.2+1)*$N$5,"""")"),"")</f>
        <v/>
      </c>
      <c r="I51" s="8" t="str">
        <f ca="1">IFERROR(_xlfn.RANK.EQ(H51,H:H),"")</f>
        <v/>
      </c>
      <c r="J51" s="8" t="str">
        <f t="shared" si="2"/>
        <v/>
      </c>
      <c r="K51" s="8" t="str">
        <f>IFERROR(_xlfn.RANK.EQ(J51,J:J),"")</f>
        <v/>
      </c>
      <c r="L51" s="8"/>
    </row>
    <row r="52" spans="1:12" ht="14" x14ac:dyDescent="0.3">
      <c r="A52" s="8"/>
      <c r="B52" s="8"/>
      <c r="C52" s="8"/>
      <c r="D52" s="8"/>
      <c r="E52" s="9" t="str">
        <f ca="1">IFERROR(__xludf.dummyfunction("iferror(1000+INT(($N$2-(index(split(D53,"":""),1)*60+index(split(D53,"":""),2 )))/0.2+1)*$N$3,"""")"),"")</f>
        <v/>
      </c>
      <c r="F52" s="8" t="str">
        <f ca="1">IFERROR(_xlfn.RANK.EQ(E52,E:E),"")</f>
        <v/>
      </c>
      <c r="G52" s="8"/>
      <c r="H52" s="9" t="str">
        <f ca="1">IFERROR(__xludf.dummyfunction("iferror(1000+INT(($N$4-(index(split(G53,"":""),1)*60+index(split(G53,"":""),2 )))/0.2+1)*$N$5,"""")"),"")</f>
        <v/>
      </c>
      <c r="I52" s="8" t="str">
        <f ca="1">IFERROR(_xlfn.RANK.EQ(H52,H:H),"")</f>
        <v/>
      </c>
      <c r="J52" s="8" t="str">
        <f t="shared" si="2"/>
        <v/>
      </c>
      <c r="K52" s="8" t="str">
        <f>IFERROR(_xlfn.RANK.EQ(J52,J:J),"")</f>
        <v/>
      </c>
      <c r="L52" s="8"/>
    </row>
    <row r="53" spans="1:12" ht="14" x14ac:dyDescent="0.3">
      <c r="A53" s="8"/>
      <c r="B53" s="8"/>
      <c r="C53" s="8"/>
      <c r="D53" s="8"/>
      <c r="E53" s="9" t="str">
        <f ca="1">IFERROR(__xludf.dummyfunction("iferror(1000+INT(($N$2-(index(split(D54,"":""),1)*60+index(split(D54,"":""),2 )))/0.2+1)*$N$3,"""")"),"")</f>
        <v/>
      </c>
      <c r="F53" s="8" t="str">
        <f ca="1">IFERROR(_xlfn.RANK.EQ(E53,E:E),"")</f>
        <v/>
      </c>
      <c r="G53" s="8"/>
      <c r="H53" s="9" t="str">
        <f ca="1">IFERROR(__xludf.dummyfunction("iferror(1000+INT(($N$4-(index(split(G54,"":""),1)*60+index(split(G54,"":""),2 )))/0.2+1)*$N$5,"""")"),"")</f>
        <v/>
      </c>
      <c r="I53" s="8" t="str">
        <f ca="1">IFERROR(_xlfn.RANK.EQ(H53,H:H),"")</f>
        <v/>
      </c>
      <c r="J53" s="8" t="str">
        <f t="shared" si="2"/>
        <v/>
      </c>
      <c r="K53" s="8" t="str">
        <f>IFERROR(_xlfn.RANK.EQ(J53,J:J),"")</f>
        <v/>
      </c>
      <c r="L53" s="8"/>
    </row>
    <row r="54" spans="1:12" ht="14" x14ac:dyDescent="0.3">
      <c r="A54" s="8"/>
      <c r="B54" s="8"/>
      <c r="C54" s="8"/>
      <c r="D54" s="8"/>
      <c r="E54" s="9" t="str">
        <f ca="1">IFERROR(__xludf.dummyfunction("iferror(1000+INT(($N$2-(index(split(D55,"":""),1)*60+index(split(D55,"":""),2 )))/0.2+1)*$N$3,"""")"),"")</f>
        <v/>
      </c>
      <c r="F54" s="8" t="str">
        <f ca="1">IFERROR(_xlfn.RANK.EQ(E54,E:E),"")</f>
        <v/>
      </c>
      <c r="G54" s="8"/>
      <c r="H54" s="9" t="str">
        <f ca="1">IFERROR(__xludf.dummyfunction("iferror(1000+INT(($N$4-(index(split(G55,"":""),1)*60+index(split(G55,"":""),2 )))/0.2+1)*$N$5,"""")"),"")</f>
        <v/>
      </c>
      <c r="I54" s="8" t="str">
        <f ca="1">IFERROR(_xlfn.RANK.EQ(H54,H:H),"")</f>
        <v/>
      </c>
      <c r="J54" s="8" t="str">
        <f t="shared" si="2"/>
        <v/>
      </c>
      <c r="K54" s="8" t="str">
        <f>IFERROR(_xlfn.RANK.EQ(J54,J:J),"")</f>
        <v/>
      </c>
      <c r="L54" s="8"/>
    </row>
    <row r="55" spans="1:12" ht="14" x14ac:dyDescent="0.3">
      <c r="A55" s="8"/>
      <c r="B55" s="8"/>
      <c r="C55" s="8"/>
      <c r="D55" s="8"/>
      <c r="E55" s="9" t="str">
        <f ca="1">IFERROR(__xludf.dummyfunction("iferror(1000+INT(($N$2-(index(split(D56,"":""),1)*60+index(split(D56,"":""),2 )))/0.2+1)*$N$3,"""")"),"")</f>
        <v/>
      </c>
      <c r="F55" s="8" t="str">
        <f ca="1">IFERROR(_xlfn.RANK.EQ(E55,E:E),"")</f>
        <v/>
      </c>
      <c r="G55" s="8"/>
      <c r="H55" s="9" t="str">
        <f ca="1">IFERROR(__xludf.dummyfunction("iferror(1000+INT(($N$4-(index(split(G56,"":""),1)*60+index(split(G56,"":""),2 )))/0.2+1)*$N$5,"""")"),"")</f>
        <v/>
      </c>
      <c r="I55" s="8" t="str">
        <f ca="1">IFERROR(_xlfn.RANK.EQ(H55,H:H),"")</f>
        <v/>
      </c>
      <c r="J55" s="8" t="str">
        <f t="shared" si="2"/>
        <v/>
      </c>
      <c r="K55" s="8" t="str">
        <f>IFERROR(_xlfn.RANK.EQ(J55,J:J),"")</f>
        <v/>
      </c>
      <c r="L55" s="8"/>
    </row>
    <row r="56" spans="1:12" ht="14" x14ac:dyDescent="0.3">
      <c r="A56" s="8"/>
      <c r="B56" s="8"/>
      <c r="C56" s="8"/>
      <c r="D56" s="8"/>
      <c r="E56" s="9" t="str">
        <f ca="1">IFERROR(__xludf.dummyfunction("iferror(1000+INT(($N$2-(index(split(D57,"":""),1)*60+index(split(D57,"":""),2 )))/0.2+1)*$N$3,"""")"),"")</f>
        <v/>
      </c>
      <c r="F56" s="8" t="str">
        <f ca="1">IFERROR(_xlfn.RANK.EQ(E56,E:E),"")</f>
        <v/>
      </c>
      <c r="G56" s="8"/>
      <c r="H56" s="9" t="str">
        <f ca="1">IFERROR(__xludf.dummyfunction("iferror(1000+INT(($N$4-(index(split(G57,"":""),1)*60+index(split(G57,"":""),2 )))/0.2+1)*$N$5,"""")"),"")</f>
        <v/>
      </c>
      <c r="I56" s="8" t="str">
        <f ca="1">IFERROR(_xlfn.RANK.EQ(H56,H:H),"")</f>
        <v/>
      </c>
      <c r="J56" s="8" t="str">
        <f t="shared" si="2"/>
        <v/>
      </c>
      <c r="K56" s="8" t="str">
        <f>IFERROR(_xlfn.RANK.EQ(J56,J:J),"")</f>
        <v/>
      </c>
      <c r="L56" s="8"/>
    </row>
    <row r="57" spans="1:12" ht="14" x14ac:dyDescent="0.3">
      <c r="A57" s="8"/>
      <c r="B57" s="8"/>
      <c r="C57" s="8"/>
      <c r="D57" s="8"/>
      <c r="E57" s="9" t="str">
        <f ca="1">IFERROR(__xludf.dummyfunction("iferror(1000+INT(($N$2-(index(split(D58,"":""),1)*60+index(split(D58,"":""),2 )))/0.2+1)*$N$3,"""")"),"")</f>
        <v/>
      </c>
      <c r="F57" s="8" t="str">
        <f ca="1">IFERROR(_xlfn.RANK.EQ(E57,E:E),"")</f>
        <v/>
      </c>
      <c r="G57" s="8"/>
      <c r="H57" s="9" t="str">
        <f ca="1">IFERROR(__xludf.dummyfunction("iferror(1000+INT(($N$4-(index(split(G58,"":""),1)*60+index(split(G58,"":""),2 )))/0.2+1)*$N$5,"""")"),"")</f>
        <v/>
      </c>
      <c r="I57" s="8" t="str">
        <f ca="1">IFERROR(_xlfn.RANK.EQ(H57,H:H),"")</f>
        <v/>
      </c>
      <c r="J57" s="8" t="str">
        <f t="shared" si="2"/>
        <v/>
      </c>
      <c r="K57" s="8" t="str">
        <f>IFERROR(_xlfn.RANK.EQ(J57,J:J),"")</f>
        <v/>
      </c>
      <c r="L57" s="8"/>
    </row>
    <row r="58" spans="1:12" ht="14" x14ac:dyDescent="0.3">
      <c r="A58" s="8"/>
      <c r="B58" s="8"/>
      <c r="C58" s="8"/>
      <c r="D58" s="8"/>
      <c r="E58" s="9" t="str">
        <f ca="1">IFERROR(__xludf.dummyfunction("iferror(1000+INT(($N$2-(index(split(D59,"":""),1)*60+index(split(D59,"":""),2 )))/0.2+1)*$N$3,"""")"),"")</f>
        <v/>
      </c>
      <c r="F58" s="8" t="str">
        <f ca="1">IFERROR(_xlfn.RANK.EQ(E58,E:E),"")</f>
        <v/>
      </c>
      <c r="G58" s="8"/>
      <c r="H58" s="9" t="str">
        <f ca="1">IFERROR(__xludf.dummyfunction("iferror(1000+INT(($N$4-(index(split(G59,"":""),1)*60+index(split(G59,"":""),2 )))/0.2+1)*$N$5,"""")"),"")</f>
        <v/>
      </c>
      <c r="I58" s="8" t="str">
        <f ca="1">IFERROR(_xlfn.RANK.EQ(H58,H:H),"")</f>
        <v/>
      </c>
      <c r="J58" s="8" t="str">
        <f t="shared" si="2"/>
        <v/>
      </c>
      <c r="K58" s="8" t="str">
        <f>IFERROR(_xlfn.RANK.EQ(J58,J:J),"")</f>
        <v/>
      </c>
      <c r="L58" s="8"/>
    </row>
    <row r="59" spans="1:12" ht="14" x14ac:dyDescent="0.3">
      <c r="A59" s="8"/>
      <c r="B59" s="8"/>
      <c r="C59" s="8"/>
      <c r="D59" s="8"/>
      <c r="E59" s="9" t="str">
        <f ca="1">IFERROR(__xludf.dummyfunction("iferror(1000+INT(($N$2-(index(split(D60,"":""),1)*60+index(split(D60,"":""),2 )))/0.2+1)*$N$3,"""")"),"")</f>
        <v/>
      </c>
      <c r="F59" s="8" t="str">
        <f ca="1">IFERROR(_xlfn.RANK.EQ(E59,E:E),"")</f>
        <v/>
      </c>
      <c r="G59" s="8"/>
      <c r="H59" s="9" t="str">
        <f ca="1">IFERROR(__xludf.dummyfunction("iferror(1000+INT(($N$4-(index(split(G60,"":""),1)*60+index(split(G60,"":""),2 )))/0.2+1)*$N$5,"""")"),"")</f>
        <v/>
      </c>
      <c r="I59" s="8" t="str">
        <f ca="1">IFERROR(_xlfn.RANK.EQ(H59,H:H),"")</f>
        <v/>
      </c>
      <c r="J59" s="8" t="str">
        <f t="shared" si="2"/>
        <v/>
      </c>
      <c r="K59" s="8" t="str">
        <f>IFERROR(_xlfn.RANK.EQ(J59,J:J),"")</f>
        <v/>
      </c>
      <c r="L59" s="8"/>
    </row>
    <row r="60" spans="1:12" ht="14" x14ac:dyDescent="0.3">
      <c r="A60" s="8"/>
      <c r="B60" s="8"/>
      <c r="C60" s="8"/>
      <c r="D60" s="8"/>
      <c r="E60" s="9" t="str">
        <f ca="1">IFERROR(__xludf.dummyfunction("iferror(1000+INT(($N$2-(index(split(D61,"":""),1)*60+index(split(D61,"":""),2 )))/0.2+1)*$N$3,"""")"),"")</f>
        <v/>
      </c>
      <c r="F60" s="8" t="str">
        <f ca="1">IFERROR(_xlfn.RANK.EQ(E60,E:E),"")</f>
        <v/>
      </c>
      <c r="G60" s="8"/>
      <c r="H60" s="9" t="str">
        <f ca="1">IFERROR(__xludf.dummyfunction("iferror(1000+INT(($N$4-(index(split(G61,"":""),1)*60+index(split(G61,"":""),2 )))/0.2+1)*$N$5,"""")"),"")</f>
        <v/>
      </c>
      <c r="I60" s="8" t="str">
        <f ca="1">IFERROR(_xlfn.RANK.EQ(H60,H:H),"")</f>
        <v/>
      </c>
      <c r="J60" s="8" t="str">
        <f t="shared" si="2"/>
        <v/>
      </c>
      <c r="K60" s="8" t="str">
        <f>IFERROR(_xlfn.RANK.EQ(J60,J:J),"")</f>
        <v/>
      </c>
      <c r="L60" s="8"/>
    </row>
    <row r="61" spans="1:12" ht="14" x14ac:dyDescent="0.3">
      <c r="A61" s="8"/>
      <c r="B61" s="8"/>
      <c r="C61" s="8"/>
      <c r="D61" s="8"/>
      <c r="E61" s="9" t="str">
        <f ca="1">IFERROR(__xludf.dummyfunction("iferror(1000+INT(($N$2-(index(split(D62,"":""),1)*60+index(split(D62,"":""),2 )))/0.2+1)*$N$3,"""")"),"")</f>
        <v/>
      </c>
      <c r="F61" s="8" t="str">
        <f ca="1">IFERROR(_xlfn.RANK.EQ(E61,E:E),"")</f>
        <v/>
      </c>
      <c r="G61" s="8"/>
      <c r="H61" s="9" t="str">
        <f ca="1">IFERROR(__xludf.dummyfunction("iferror(1000+INT(($N$4-(index(split(G62,"":""),1)*60+index(split(G62,"":""),2 )))/0.2+1)*$N$5,"""")"),"")</f>
        <v/>
      </c>
      <c r="I61" s="8" t="str">
        <f ca="1">IFERROR(_xlfn.RANK.EQ(H61,H:H),"")</f>
        <v/>
      </c>
      <c r="J61" s="8" t="str">
        <f t="shared" si="2"/>
        <v/>
      </c>
      <c r="K61" s="8" t="str">
        <f>IFERROR(_xlfn.RANK.EQ(J61,J:J),"")</f>
        <v/>
      </c>
      <c r="L61" s="8"/>
    </row>
    <row r="62" spans="1:12" ht="14" x14ac:dyDescent="0.3">
      <c r="A62" s="8"/>
      <c r="B62" s="8"/>
      <c r="C62" s="8"/>
      <c r="D62" s="8"/>
      <c r="E62" s="9" t="str">
        <f ca="1">IFERROR(__xludf.dummyfunction("iferror(1000+INT(($N$2-(index(split(D63,"":""),1)*60+index(split(D63,"":""),2 )))/0.2+1)*$N$3,"""")"),"")</f>
        <v/>
      </c>
      <c r="F62" s="8" t="str">
        <f ca="1">IFERROR(_xlfn.RANK.EQ(E62,E:E),"")</f>
        <v/>
      </c>
      <c r="G62" s="8"/>
      <c r="H62" s="9" t="str">
        <f ca="1">IFERROR(__xludf.dummyfunction("iferror(1000+INT(($N$4-(index(split(G63,"":""),1)*60+index(split(G63,"":""),2 )))/0.2+1)*$N$5,"""")"),"")</f>
        <v/>
      </c>
      <c r="I62" s="8" t="str">
        <f ca="1">IFERROR(_xlfn.RANK.EQ(H62,H:H),"")</f>
        <v/>
      </c>
      <c r="J62" s="8" t="str">
        <f t="shared" si="2"/>
        <v/>
      </c>
      <c r="K62" s="8" t="str">
        <f>IFERROR(_xlfn.RANK.EQ(J62,J:J),"")</f>
        <v/>
      </c>
      <c r="L62" s="8"/>
    </row>
    <row r="63" spans="1:12" ht="14" x14ac:dyDescent="0.3">
      <c r="A63" s="8"/>
      <c r="B63" s="8"/>
      <c r="C63" s="8"/>
      <c r="D63" s="8"/>
      <c r="E63" s="9" t="str">
        <f ca="1">IFERROR(__xludf.dummyfunction("iferror(1000+INT(($N$2-(index(split(D64,"":""),1)*60+index(split(D64,"":""),2 )))/0.2+1)*$N$3,"""")"),"")</f>
        <v/>
      </c>
      <c r="F63" s="8" t="str">
        <f ca="1">IFERROR(_xlfn.RANK.EQ(E63,E:E),"")</f>
        <v/>
      </c>
      <c r="G63" s="8"/>
      <c r="H63" s="9" t="str">
        <f ca="1">IFERROR(__xludf.dummyfunction("iferror(1000+INT(($N$4-(index(split(G64,"":""),1)*60+index(split(G64,"":""),2 )))/0.2+1)*$N$5,"""")"),"")</f>
        <v/>
      </c>
      <c r="I63" s="8" t="str">
        <f ca="1">IFERROR(_xlfn.RANK.EQ(H63,H:H),"")</f>
        <v/>
      </c>
      <c r="J63" s="8" t="str">
        <f t="shared" si="2"/>
        <v/>
      </c>
      <c r="K63" s="8" t="str">
        <f>IFERROR(_xlfn.RANK.EQ(J63,J:J),"")</f>
        <v/>
      </c>
      <c r="L63" s="8"/>
    </row>
    <row r="64" spans="1:12" ht="14" x14ac:dyDescent="0.3">
      <c r="A64" s="8"/>
      <c r="B64" s="8"/>
      <c r="C64" s="8"/>
      <c r="D64" s="8"/>
      <c r="E64" s="9" t="str">
        <f ca="1">IFERROR(__xludf.dummyfunction("iferror(1000+INT(($N$2-(index(split(D65,"":""),1)*60+index(split(D65,"":""),2 )))/0.2+1)*$N$3,"""")"),"")</f>
        <v/>
      </c>
      <c r="F64" s="8" t="str">
        <f ca="1">IFERROR(_xlfn.RANK.EQ(E64,E:E),"")</f>
        <v/>
      </c>
      <c r="G64" s="8"/>
      <c r="H64" s="9" t="str">
        <f ca="1">IFERROR(__xludf.dummyfunction("iferror(1000+INT(($N$4-(index(split(G65,"":""),1)*60+index(split(G65,"":""),2 )))/0.2+1)*$N$5,"""")"),"")</f>
        <v/>
      </c>
      <c r="I64" s="8" t="str">
        <f ca="1">IFERROR(_xlfn.RANK.EQ(H64,H:H),"")</f>
        <v/>
      </c>
      <c r="J64" s="8" t="str">
        <f t="shared" si="2"/>
        <v/>
      </c>
      <c r="K64" s="8" t="str">
        <f>IFERROR(_xlfn.RANK.EQ(J64,J:J),"")</f>
        <v/>
      </c>
      <c r="L64" s="8"/>
    </row>
    <row r="65" spans="1:12" ht="14" x14ac:dyDescent="0.3">
      <c r="A65" s="8"/>
      <c r="B65" s="8"/>
      <c r="C65" s="8"/>
      <c r="D65" s="8"/>
      <c r="E65" s="9" t="str">
        <f ca="1">IFERROR(__xludf.dummyfunction("iferror(1000+INT(($N$2-(index(split(D66,"":""),1)*60+index(split(D66,"":""),2 )))/0.2+1)*$N$3,"""")"),"")</f>
        <v/>
      </c>
      <c r="F65" s="8" t="str">
        <f ca="1">IFERROR(_xlfn.RANK.EQ(E65,E:E),"")</f>
        <v/>
      </c>
      <c r="G65" s="8"/>
      <c r="H65" s="9" t="str">
        <f ca="1">IFERROR(__xludf.dummyfunction("iferror(1000+INT(($N$4-(index(split(G66,"":""),1)*60+index(split(G66,"":""),2 )))/0.2+1)*$N$5,"""")"),"")</f>
        <v/>
      </c>
      <c r="I65" s="8" t="str">
        <f ca="1">IFERROR(_xlfn.RANK.EQ(H65,H:H),"")</f>
        <v/>
      </c>
      <c r="J65" s="8" t="str">
        <f t="shared" si="2"/>
        <v/>
      </c>
      <c r="K65" s="8" t="str">
        <f>IFERROR(_xlfn.RANK.EQ(J65,J:J),"")</f>
        <v/>
      </c>
      <c r="L65" s="8"/>
    </row>
    <row r="66" spans="1:12" ht="14" x14ac:dyDescent="0.3">
      <c r="A66" s="8"/>
      <c r="B66" s="8"/>
      <c r="C66" s="8"/>
      <c r="D66" s="8"/>
      <c r="E66" s="9" t="str">
        <f ca="1">IFERROR(__xludf.dummyfunction("iferror(1000+INT(($N$2-(index(split(D67,"":""),1)*60+index(split(D67,"":""),2 )))/0.2+1)*$N$3,"""")"),"")</f>
        <v/>
      </c>
      <c r="F66" s="8" t="str">
        <f ca="1">IFERROR(_xlfn.RANK.EQ(E66,E:E),"")</f>
        <v/>
      </c>
      <c r="G66" s="8"/>
      <c r="H66" s="9" t="str">
        <f ca="1">IFERROR(__xludf.dummyfunction("iferror(1000+INT(($N$4-(index(split(G67,"":""),1)*60+index(split(G67,"":""),2 )))/0.2+1)*$N$5,"""")"),"")</f>
        <v/>
      </c>
      <c r="I66" s="8" t="str">
        <f ca="1">IFERROR(_xlfn.RANK.EQ(H66,H:H),"")</f>
        <v/>
      </c>
      <c r="J66" s="8" t="str">
        <f t="shared" si="2"/>
        <v/>
      </c>
      <c r="K66" s="8" t="str">
        <f>IFERROR(_xlfn.RANK.EQ(J66,J:J),"")</f>
        <v/>
      </c>
      <c r="L66" s="8"/>
    </row>
    <row r="67" spans="1:12" ht="14" x14ac:dyDescent="0.3">
      <c r="A67" s="8"/>
      <c r="B67" s="8"/>
      <c r="C67" s="8"/>
      <c r="D67" s="8"/>
      <c r="E67" s="9" t="str">
        <f ca="1">IFERROR(__xludf.dummyfunction("iferror(1000+INT(($N$2-(index(split(D68,"":""),1)*60+index(split(D68,"":""),2 )))/0.2+1)*$N$3,"""")"),"")</f>
        <v/>
      </c>
      <c r="F67" s="8" t="str">
        <f ca="1">IFERROR(_xlfn.RANK.EQ(E67,E:E),"")</f>
        <v/>
      </c>
      <c r="G67" s="8"/>
      <c r="H67" s="9" t="str">
        <f ca="1">IFERROR(__xludf.dummyfunction("iferror(1000+INT(($N$4-(index(split(G68,"":""),1)*60+index(split(G68,"":""),2 )))/0.2+1)*$N$5,"""")"),"")</f>
        <v/>
      </c>
      <c r="I67" s="8" t="str">
        <f ca="1">IFERROR(_xlfn.RANK.EQ(H67,H:H),"")</f>
        <v/>
      </c>
      <c r="J67" s="8" t="str">
        <f t="shared" si="2"/>
        <v/>
      </c>
      <c r="K67" s="8" t="str">
        <f>IFERROR(_xlfn.RANK.EQ(J67,J:J),"")</f>
        <v/>
      </c>
      <c r="L67" s="8"/>
    </row>
    <row r="68" spans="1:12" ht="14" x14ac:dyDescent="0.3">
      <c r="A68" s="8"/>
      <c r="B68" s="8"/>
      <c r="C68" s="8"/>
      <c r="D68" s="8"/>
      <c r="E68" s="9" t="str">
        <f ca="1">IFERROR(__xludf.dummyfunction("iferror(1000+INT(($N$2-(index(split(D69,"":""),1)*60+index(split(D69,"":""),2 )))/0.2+1)*$N$3,"""")"),"")</f>
        <v/>
      </c>
      <c r="F68" s="8" t="str">
        <f ca="1">IFERROR(_xlfn.RANK.EQ(E68,E:E),"")</f>
        <v/>
      </c>
      <c r="G68" s="8"/>
      <c r="H68" s="9" t="str">
        <f ca="1">IFERROR(__xludf.dummyfunction("iferror(1000+INT(($N$4-(index(split(G69,"":""),1)*60+index(split(G69,"":""),2 )))/0.2+1)*$N$5,"""")"),"")</f>
        <v/>
      </c>
      <c r="I68" s="8" t="str">
        <f ca="1">IFERROR(_xlfn.RANK.EQ(H68,H:H),"")</f>
        <v/>
      </c>
      <c r="J68" s="8" t="str">
        <f t="shared" si="2"/>
        <v/>
      </c>
      <c r="K68" s="8" t="str">
        <f>IFERROR(_xlfn.RANK.EQ(J68,J:J),"")</f>
        <v/>
      </c>
      <c r="L68" s="8"/>
    </row>
    <row r="69" spans="1:12" ht="14" x14ac:dyDescent="0.3">
      <c r="A69" s="8"/>
      <c r="B69" s="8"/>
      <c r="C69" s="8"/>
      <c r="D69" s="8"/>
      <c r="E69" s="9" t="str">
        <f ca="1">IFERROR(__xludf.dummyfunction("iferror(1000+INT(($N$2-(index(split(D70,"":""),1)*60+index(split(D70,"":""),2 )))/0.2+1)*$N$3,"""")"),"")</f>
        <v/>
      </c>
      <c r="F69" s="8" t="str">
        <f ca="1">IFERROR(_xlfn.RANK.EQ(E69,E:E),"")</f>
        <v/>
      </c>
      <c r="G69" s="8"/>
      <c r="H69" s="9" t="str">
        <f ca="1">IFERROR(__xludf.dummyfunction("iferror(1000+INT(($N$4-(index(split(G70,"":""),1)*60+index(split(G70,"":""),2 )))/0.2+1)*$N$5,"""")"),"")</f>
        <v/>
      </c>
      <c r="I69" s="8" t="str">
        <f ca="1">IFERROR(_xlfn.RANK.EQ(H69,H:H),"")</f>
        <v/>
      </c>
      <c r="J69" s="8" t="str">
        <f t="shared" ref="J69:J99" si="3">IF(AND(D69="", G69=""), "", E69+H69)</f>
        <v/>
      </c>
      <c r="K69" s="8" t="str">
        <f>IFERROR(_xlfn.RANK.EQ(J69,J:J),"")</f>
        <v/>
      </c>
      <c r="L69" s="8"/>
    </row>
    <row r="70" spans="1:12" ht="14" x14ac:dyDescent="0.3">
      <c r="A70" s="8"/>
      <c r="B70" s="8"/>
      <c r="C70" s="8"/>
      <c r="D70" s="8"/>
      <c r="E70" s="9" t="str">
        <f ca="1">IFERROR(__xludf.dummyfunction("iferror(1000+INT(($N$2-(index(split(D71,"":""),1)*60+index(split(D71,"":""),2 )))/0.2+1)*$N$3,"""")"),"")</f>
        <v/>
      </c>
      <c r="F70" s="8" t="str">
        <f ca="1">IFERROR(_xlfn.RANK.EQ(E70,E:E),"")</f>
        <v/>
      </c>
      <c r="G70" s="8"/>
      <c r="H70" s="9" t="str">
        <f ca="1">IFERROR(__xludf.dummyfunction("iferror(1000+INT(($N$4-(index(split(G71,"":""),1)*60+index(split(G71,"":""),2 )))/0.2+1)*$N$5,"""")"),"")</f>
        <v/>
      </c>
      <c r="I70" s="8" t="str">
        <f ca="1">IFERROR(_xlfn.RANK.EQ(H70,H:H),"")</f>
        <v/>
      </c>
      <c r="J70" s="8" t="str">
        <f t="shared" si="3"/>
        <v/>
      </c>
      <c r="K70" s="8" t="str">
        <f>IFERROR(_xlfn.RANK.EQ(J70,J:J),"")</f>
        <v/>
      </c>
      <c r="L70" s="8"/>
    </row>
    <row r="71" spans="1:12" ht="14" x14ac:dyDescent="0.3">
      <c r="A71" s="8"/>
      <c r="B71" s="8"/>
      <c r="C71" s="8"/>
      <c r="D71" s="8"/>
      <c r="E71" s="9" t="str">
        <f ca="1">IFERROR(__xludf.dummyfunction("iferror(1000+INT(($N$2-(index(split(D72,"":""),1)*60+index(split(D72,"":""),2 )))/0.2+1)*$N$3,"""")"),"")</f>
        <v/>
      </c>
      <c r="F71" s="8" t="str">
        <f ca="1">IFERROR(_xlfn.RANK.EQ(E71,E:E),"")</f>
        <v/>
      </c>
      <c r="G71" s="8"/>
      <c r="H71" s="9" t="str">
        <f ca="1">IFERROR(__xludf.dummyfunction("iferror(1000+INT(($N$4-(index(split(G72,"":""),1)*60+index(split(G72,"":""),2 )))/0.2+1)*$N$5,"""")"),"")</f>
        <v/>
      </c>
      <c r="I71" s="8" t="str">
        <f ca="1">IFERROR(_xlfn.RANK.EQ(H71,H:H),"")</f>
        <v/>
      </c>
      <c r="J71" s="8" t="str">
        <f t="shared" si="3"/>
        <v/>
      </c>
      <c r="K71" s="8" t="str">
        <f>IFERROR(_xlfn.RANK.EQ(J71,J:J),"")</f>
        <v/>
      </c>
      <c r="L71" s="8"/>
    </row>
    <row r="72" spans="1:12" ht="14" x14ac:dyDescent="0.3">
      <c r="A72" s="8"/>
      <c r="B72" s="8"/>
      <c r="C72" s="8"/>
      <c r="D72" s="8"/>
      <c r="E72" s="9" t="str">
        <f ca="1">IFERROR(__xludf.dummyfunction("iferror(1000+INT(($N$2-(index(split(D73,"":""),1)*60+index(split(D73,"":""),2 )))/0.2+1)*$N$3,"""")"),"")</f>
        <v/>
      </c>
      <c r="F72" s="8" t="str">
        <f ca="1">IFERROR(_xlfn.RANK.EQ(E72,E:E),"")</f>
        <v/>
      </c>
      <c r="G72" s="8"/>
      <c r="H72" s="9" t="str">
        <f ca="1">IFERROR(__xludf.dummyfunction("iferror(1000+INT(($N$4-(index(split(G73,"":""),1)*60+index(split(G73,"":""),2 )))/0.2+1)*$N$5,"""")"),"")</f>
        <v/>
      </c>
      <c r="I72" s="8" t="str">
        <f ca="1">IFERROR(_xlfn.RANK.EQ(H72,H:H),"")</f>
        <v/>
      </c>
      <c r="J72" s="8" t="str">
        <f t="shared" si="3"/>
        <v/>
      </c>
      <c r="K72" s="8" t="str">
        <f>IFERROR(_xlfn.RANK.EQ(J72,J:J),"")</f>
        <v/>
      </c>
      <c r="L72" s="8"/>
    </row>
    <row r="73" spans="1:12" ht="14" x14ac:dyDescent="0.3">
      <c r="A73" s="8"/>
      <c r="B73" s="8"/>
      <c r="C73" s="8"/>
      <c r="D73" s="8"/>
      <c r="E73" s="9" t="str">
        <f ca="1">IFERROR(__xludf.dummyfunction("iferror(1000+INT(($N$2-(index(split(D74,"":""),1)*60+index(split(D74,"":""),2 )))/0.2+1)*$N$3,"""")"),"")</f>
        <v/>
      </c>
      <c r="F73" s="8" t="str">
        <f ca="1">IFERROR(_xlfn.RANK.EQ(E73,E:E),"")</f>
        <v/>
      </c>
      <c r="G73" s="8"/>
      <c r="H73" s="9" t="str">
        <f ca="1">IFERROR(__xludf.dummyfunction("iferror(1000+INT(($N$4-(index(split(G74,"":""),1)*60+index(split(G74,"":""),2 )))/0.2+1)*$N$5,"""")"),"")</f>
        <v/>
      </c>
      <c r="I73" s="8" t="str">
        <f ca="1">IFERROR(_xlfn.RANK.EQ(H73,H:H),"")</f>
        <v/>
      </c>
      <c r="J73" s="8" t="str">
        <f t="shared" si="3"/>
        <v/>
      </c>
      <c r="K73" s="8" t="str">
        <f>IFERROR(_xlfn.RANK.EQ(J73,J:J),"")</f>
        <v/>
      </c>
      <c r="L73" s="8"/>
    </row>
    <row r="74" spans="1:12" ht="14" x14ac:dyDescent="0.3">
      <c r="A74" s="8"/>
      <c r="B74" s="8"/>
      <c r="C74" s="8"/>
      <c r="D74" s="8"/>
      <c r="E74" s="9" t="str">
        <f ca="1">IFERROR(__xludf.dummyfunction("iferror(1000+INT(($N$2-(index(split(D75,"":""),1)*60+index(split(D75,"":""),2 )))/0.2+1)*$N$3,"""")"),"")</f>
        <v/>
      </c>
      <c r="F74" s="8" t="str">
        <f ca="1">IFERROR(_xlfn.RANK.EQ(E74,E:E),"")</f>
        <v/>
      </c>
      <c r="G74" s="8"/>
      <c r="H74" s="9" t="str">
        <f ca="1">IFERROR(__xludf.dummyfunction("iferror(1000+INT(($N$4-(index(split(G75,"":""),1)*60+index(split(G75,"":""),2 )))/0.2+1)*$N$5,"""")"),"")</f>
        <v/>
      </c>
      <c r="I74" s="8" t="str">
        <f ca="1">IFERROR(_xlfn.RANK.EQ(H74,H:H),"")</f>
        <v/>
      </c>
      <c r="J74" s="8" t="str">
        <f t="shared" si="3"/>
        <v/>
      </c>
      <c r="K74" s="8" t="str">
        <f>IFERROR(_xlfn.RANK.EQ(J74,J:J),"")</f>
        <v/>
      </c>
      <c r="L74" s="8"/>
    </row>
    <row r="75" spans="1:12" ht="14" x14ac:dyDescent="0.3">
      <c r="A75" s="8"/>
      <c r="B75" s="8"/>
      <c r="C75" s="8"/>
      <c r="D75" s="8"/>
      <c r="E75" s="9" t="str">
        <f ca="1">IFERROR(__xludf.dummyfunction("iferror(1000+INT(($N$2-(index(split(D76,"":""),1)*60+index(split(D76,"":""),2 )))/0.2+1)*$N$3,"""")"),"")</f>
        <v/>
      </c>
      <c r="F75" s="8" t="str">
        <f ca="1">IFERROR(_xlfn.RANK.EQ(E75,E:E),"")</f>
        <v/>
      </c>
      <c r="G75" s="8"/>
      <c r="H75" s="9" t="str">
        <f ca="1">IFERROR(__xludf.dummyfunction("iferror(1000+INT(($N$4-(index(split(G76,"":""),1)*60+index(split(G76,"":""),2 )))/0.2+1)*$N$5,"""")"),"")</f>
        <v/>
      </c>
      <c r="I75" s="8" t="str">
        <f ca="1">IFERROR(_xlfn.RANK.EQ(H75,H:H),"")</f>
        <v/>
      </c>
      <c r="J75" s="8" t="str">
        <f t="shared" si="3"/>
        <v/>
      </c>
      <c r="K75" s="8" t="str">
        <f>IFERROR(_xlfn.RANK.EQ(J75,J:J),"")</f>
        <v/>
      </c>
      <c r="L75" s="8"/>
    </row>
    <row r="76" spans="1:12" ht="14" x14ac:dyDescent="0.3">
      <c r="A76" s="8"/>
      <c r="B76" s="8"/>
      <c r="C76" s="8"/>
      <c r="D76" s="8"/>
      <c r="E76" s="9" t="str">
        <f ca="1">IFERROR(__xludf.dummyfunction("iferror(1000+INT(($N$2-(index(split(D77,"":""),1)*60+index(split(D77,"":""),2 )))/0.2+1)*$N$3,"""")"),"")</f>
        <v/>
      </c>
      <c r="F76" s="8" t="str">
        <f ca="1">IFERROR(_xlfn.RANK.EQ(E76,E:E),"")</f>
        <v/>
      </c>
      <c r="G76" s="8"/>
      <c r="H76" s="9" t="str">
        <f ca="1">IFERROR(__xludf.dummyfunction("iferror(1000+INT(($N$4-(index(split(G77,"":""),1)*60+index(split(G77,"":""),2 )))/0.2+1)*$N$5,"""")"),"")</f>
        <v/>
      </c>
      <c r="I76" s="8" t="str">
        <f ca="1">IFERROR(_xlfn.RANK.EQ(H76,H:H),"")</f>
        <v/>
      </c>
      <c r="J76" s="8" t="str">
        <f t="shared" si="3"/>
        <v/>
      </c>
      <c r="K76" s="8" t="str">
        <f>IFERROR(_xlfn.RANK.EQ(J76,J:J),"")</f>
        <v/>
      </c>
      <c r="L76" s="8"/>
    </row>
    <row r="77" spans="1:12" ht="14" x14ac:dyDescent="0.3">
      <c r="A77" s="8"/>
      <c r="B77" s="8"/>
      <c r="C77" s="8"/>
      <c r="D77" s="8"/>
      <c r="E77" s="9" t="str">
        <f ca="1">IFERROR(__xludf.dummyfunction("iferror(1000+INT(($N$2-(index(split(D78,"":""),1)*60+index(split(D78,"":""),2 )))/0.2+1)*$N$3,"""")"),"")</f>
        <v/>
      </c>
      <c r="F77" s="8" t="str">
        <f ca="1">IFERROR(_xlfn.RANK.EQ(E77,E:E),"")</f>
        <v/>
      </c>
      <c r="G77" s="8"/>
      <c r="H77" s="9" t="str">
        <f ca="1">IFERROR(__xludf.dummyfunction("iferror(1000+INT(($N$4-(index(split(G78,"":""),1)*60+index(split(G78,"":""),2 )))/0.2+1)*$N$5,"""")"),"")</f>
        <v/>
      </c>
      <c r="I77" s="8" t="str">
        <f ca="1">IFERROR(_xlfn.RANK.EQ(H77,H:H),"")</f>
        <v/>
      </c>
      <c r="J77" s="8" t="str">
        <f t="shared" si="3"/>
        <v/>
      </c>
      <c r="K77" s="8" t="str">
        <f>IFERROR(_xlfn.RANK.EQ(J77,J:J),"")</f>
        <v/>
      </c>
      <c r="L77" s="8"/>
    </row>
    <row r="78" spans="1:12" ht="14" x14ac:dyDescent="0.3">
      <c r="A78" s="8"/>
      <c r="B78" s="8"/>
      <c r="C78" s="8"/>
      <c r="D78" s="8"/>
      <c r="E78" s="9" t="str">
        <f ca="1">IFERROR(__xludf.dummyfunction("iferror(1000+INT(($N$2-(index(split(D79,"":""),1)*60+index(split(D79,"":""),2 )))/0.2+1)*$N$3,"""")"),"")</f>
        <v/>
      </c>
      <c r="F78" s="8" t="str">
        <f ca="1">IFERROR(_xlfn.RANK.EQ(E78,E:E),"")</f>
        <v/>
      </c>
      <c r="G78" s="8"/>
      <c r="H78" s="9" t="str">
        <f ca="1">IFERROR(__xludf.dummyfunction("iferror(1000+INT(($N$4-(index(split(G79,"":""),1)*60+index(split(G79,"":""),2 )))/0.2+1)*$N$5,"""")"),"")</f>
        <v/>
      </c>
      <c r="I78" s="8" t="str">
        <f ca="1">IFERROR(_xlfn.RANK.EQ(H78,H:H),"")</f>
        <v/>
      </c>
      <c r="J78" s="8" t="str">
        <f t="shared" si="3"/>
        <v/>
      </c>
      <c r="K78" s="8" t="str">
        <f>IFERROR(_xlfn.RANK.EQ(J78,J:J),"")</f>
        <v/>
      </c>
      <c r="L78" s="8"/>
    </row>
    <row r="79" spans="1:12" ht="14" x14ac:dyDescent="0.3">
      <c r="A79" s="8"/>
      <c r="B79" s="8"/>
      <c r="C79" s="8"/>
      <c r="D79" s="8"/>
      <c r="E79" s="9" t="str">
        <f ca="1">IFERROR(__xludf.dummyfunction("iferror(1000+INT(($N$2-(index(split(D80,"":""),1)*60+index(split(D80,"":""),2 )))/0.2+1)*$N$3,"""")"),"")</f>
        <v/>
      </c>
      <c r="F79" s="8" t="str">
        <f ca="1">IFERROR(_xlfn.RANK.EQ(E79,E:E),"")</f>
        <v/>
      </c>
      <c r="G79" s="8"/>
      <c r="H79" s="9" t="str">
        <f ca="1">IFERROR(__xludf.dummyfunction("iferror(1000+INT(($N$4-(index(split(G80,"":""),1)*60+index(split(G80,"":""),2 )))/0.2+1)*$N$5,"""")"),"")</f>
        <v/>
      </c>
      <c r="I79" s="8" t="str">
        <f ca="1">IFERROR(_xlfn.RANK.EQ(H79,H:H),"")</f>
        <v/>
      </c>
      <c r="J79" s="8" t="str">
        <f t="shared" si="3"/>
        <v/>
      </c>
      <c r="K79" s="8" t="str">
        <f>IFERROR(_xlfn.RANK.EQ(J79,J:J),"")</f>
        <v/>
      </c>
      <c r="L79" s="8"/>
    </row>
    <row r="80" spans="1:12" ht="14" x14ac:dyDescent="0.3">
      <c r="A80" s="8"/>
      <c r="B80" s="8"/>
      <c r="C80" s="8"/>
      <c r="D80" s="8"/>
      <c r="E80" s="9" t="str">
        <f ca="1">IFERROR(__xludf.dummyfunction("iferror(1000+INT(($N$2-(index(split(D81,"":""),1)*60+index(split(D81,"":""),2 )))/0.2+1)*$N$3,"""")"),"")</f>
        <v/>
      </c>
      <c r="F80" s="8" t="str">
        <f ca="1">IFERROR(_xlfn.RANK.EQ(E80,E:E),"")</f>
        <v/>
      </c>
      <c r="G80" s="8"/>
      <c r="H80" s="9" t="str">
        <f ca="1">IFERROR(__xludf.dummyfunction("iferror(1000+INT(($N$4-(index(split(G81,"":""),1)*60+index(split(G81,"":""),2 )))/0.2+1)*$N$5,"""")"),"")</f>
        <v/>
      </c>
      <c r="I80" s="8" t="str">
        <f ca="1">IFERROR(_xlfn.RANK.EQ(H80,H:H),"")</f>
        <v/>
      </c>
      <c r="J80" s="8" t="str">
        <f t="shared" si="3"/>
        <v/>
      </c>
      <c r="K80" s="8" t="str">
        <f>IFERROR(_xlfn.RANK.EQ(J80,J:J),"")</f>
        <v/>
      </c>
      <c r="L80" s="8"/>
    </row>
    <row r="81" spans="1:12" ht="14" x14ac:dyDescent="0.3">
      <c r="A81" s="8"/>
      <c r="B81" s="8"/>
      <c r="C81" s="8"/>
      <c r="D81" s="8"/>
      <c r="E81" s="9" t="str">
        <f ca="1">IFERROR(__xludf.dummyfunction("iferror(1000+INT(($N$2-(index(split(D82,"":""),1)*60+index(split(D82,"":""),2 )))/0.2+1)*$N$3,"""")"),"")</f>
        <v/>
      </c>
      <c r="F81" s="8" t="str">
        <f ca="1">IFERROR(_xlfn.RANK.EQ(E81,E:E),"")</f>
        <v/>
      </c>
      <c r="G81" s="8"/>
      <c r="H81" s="9" t="str">
        <f ca="1">IFERROR(__xludf.dummyfunction("iferror(1000+INT(($N$4-(index(split(G82,"":""),1)*60+index(split(G82,"":""),2 )))/0.2+1)*$N$5,"""")"),"")</f>
        <v/>
      </c>
      <c r="I81" s="8" t="str">
        <f ca="1">IFERROR(_xlfn.RANK.EQ(H81,H:H),"")</f>
        <v/>
      </c>
      <c r="J81" s="8" t="str">
        <f t="shared" si="3"/>
        <v/>
      </c>
      <c r="K81" s="8" t="str">
        <f>IFERROR(_xlfn.RANK.EQ(J81,J:J),"")</f>
        <v/>
      </c>
      <c r="L81" s="8"/>
    </row>
    <row r="82" spans="1:12" ht="14" x14ac:dyDescent="0.3">
      <c r="A82" s="8"/>
      <c r="B82" s="8"/>
      <c r="C82" s="8"/>
      <c r="D82" s="8"/>
      <c r="E82" s="9" t="str">
        <f ca="1">IFERROR(__xludf.dummyfunction("iferror(1000+INT(($N$2-(index(split(D83,"":""),1)*60+index(split(D83,"":""),2 )))/0.2+1)*$N$3,"""")"),"")</f>
        <v/>
      </c>
      <c r="F82" s="8" t="str">
        <f ca="1">IFERROR(_xlfn.RANK.EQ(E82,E:E),"")</f>
        <v/>
      </c>
      <c r="G82" s="8"/>
      <c r="H82" s="9" t="str">
        <f ca="1">IFERROR(__xludf.dummyfunction("iferror(1000+INT(($N$4-(index(split(G83,"":""),1)*60+index(split(G83,"":""),2 )))/0.2+1)*$N$5,"""")"),"")</f>
        <v/>
      </c>
      <c r="I82" s="8" t="str">
        <f ca="1">IFERROR(_xlfn.RANK.EQ(H82,H:H),"")</f>
        <v/>
      </c>
      <c r="J82" s="8" t="str">
        <f t="shared" si="3"/>
        <v/>
      </c>
      <c r="K82" s="8" t="str">
        <f>IFERROR(_xlfn.RANK.EQ(J82,J:J),"")</f>
        <v/>
      </c>
      <c r="L82" s="8"/>
    </row>
    <row r="83" spans="1:12" ht="14" x14ac:dyDescent="0.3">
      <c r="A83" s="8"/>
      <c r="B83" s="8"/>
      <c r="C83" s="8"/>
      <c r="D83" s="8"/>
      <c r="E83" s="9" t="str">
        <f ca="1">IFERROR(__xludf.dummyfunction("iferror(1000+INT(($N$2-(index(split(D84,"":""),1)*60+index(split(D84,"":""),2 )))/0.2+1)*$N$3,"""")"),"")</f>
        <v/>
      </c>
      <c r="F83" s="8" t="str">
        <f ca="1">IFERROR(_xlfn.RANK.EQ(E83,E:E),"")</f>
        <v/>
      </c>
      <c r="G83" s="8"/>
      <c r="H83" s="9" t="str">
        <f ca="1">IFERROR(__xludf.dummyfunction("iferror(1000+INT(($N$4-(index(split(G84,"":""),1)*60+index(split(G84,"":""),2 )))/0.2+1)*$N$5,"""")"),"")</f>
        <v/>
      </c>
      <c r="I83" s="8" t="str">
        <f ca="1">IFERROR(_xlfn.RANK.EQ(H83,H:H),"")</f>
        <v/>
      </c>
      <c r="J83" s="8" t="str">
        <f t="shared" si="3"/>
        <v/>
      </c>
      <c r="K83" s="8" t="str">
        <f>IFERROR(_xlfn.RANK.EQ(J83,J:J),"")</f>
        <v/>
      </c>
      <c r="L83" s="8"/>
    </row>
    <row r="84" spans="1:12" ht="14" x14ac:dyDescent="0.3">
      <c r="A84" s="8"/>
      <c r="B84" s="8"/>
      <c r="C84" s="8"/>
      <c r="D84" s="8"/>
      <c r="E84" s="9" t="str">
        <f ca="1">IFERROR(__xludf.dummyfunction("iferror(1000+INT(($N$2-(index(split(D85,"":""),1)*60+index(split(D85,"":""),2 )))/0.2+1)*$N$3,"""")"),"")</f>
        <v/>
      </c>
      <c r="F84" s="8" t="str">
        <f ca="1">IFERROR(_xlfn.RANK.EQ(E84,E:E),"")</f>
        <v/>
      </c>
      <c r="G84" s="8"/>
      <c r="H84" s="9" t="str">
        <f ca="1">IFERROR(__xludf.dummyfunction("iferror(1000+INT(($N$4-(index(split(G85,"":""),1)*60+index(split(G85,"":""),2 )))/0.2+1)*$N$5,"""")"),"")</f>
        <v/>
      </c>
      <c r="I84" s="8" t="str">
        <f ca="1">IFERROR(_xlfn.RANK.EQ(H84,H:H),"")</f>
        <v/>
      </c>
      <c r="J84" s="8" t="str">
        <f t="shared" si="3"/>
        <v/>
      </c>
      <c r="K84" s="8" t="str">
        <f>IFERROR(_xlfn.RANK.EQ(J84,J:J),"")</f>
        <v/>
      </c>
      <c r="L84" s="8"/>
    </row>
    <row r="85" spans="1:12" ht="14" x14ac:dyDescent="0.3">
      <c r="A85" s="8"/>
      <c r="B85" s="8"/>
      <c r="C85" s="8"/>
      <c r="D85" s="8"/>
      <c r="E85" s="9" t="str">
        <f ca="1">IFERROR(__xludf.dummyfunction("iferror(1000+INT(($N$2-(index(split(D86,"":""),1)*60+index(split(D86,"":""),2 )))/0.2+1)*$N$3,"""")"),"")</f>
        <v/>
      </c>
      <c r="F85" s="8" t="str">
        <f ca="1">IFERROR(_xlfn.RANK.EQ(E85,E:E),"")</f>
        <v/>
      </c>
      <c r="G85" s="8"/>
      <c r="H85" s="9" t="str">
        <f ca="1">IFERROR(__xludf.dummyfunction("iferror(1000+INT(($N$4-(index(split(G86,"":""),1)*60+index(split(G86,"":""),2 )))/0.2+1)*$N$5,"""")"),"")</f>
        <v/>
      </c>
      <c r="I85" s="8" t="str">
        <f ca="1">IFERROR(_xlfn.RANK.EQ(H85,H:H),"")</f>
        <v/>
      </c>
      <c r="J85" s="8" t="str">
        <f t="shared" si="3"/>
        <v/>
      </c>
      <c r="K85" s="8" t="str">
        <f>IFERROR(_xlfn.RANK.EQ(J85,J:J),"")</f>
        <v/>
      </c>
      <c r="L85" s="8"/>
    </row>
    <row r="86" spans="1:12" ht="14" x14ac:dyDescent="0.3">
      <c r="A86" s="8"/>
      <c r="B86" s="8"/>
      <c r="C86" s="8"/>
      <c r="D86" s="8"/>
      <c r="E86" s="9" t="str">
        <f ca="1">IFERROR(__xludf.dummyfunction("iferror(1000+INT(($N$2-(index(split(D87,"":""),1)*60+index(split(D87,"":""),2 )))/0.2+1)*$N$3,"""")"),"")</f>
        <v/>
      </c>
      <c r="F86" s="8" t="str">
        <f ca="1">IFERROR(_xlfn.RANK.EQ(E86,E:E),"")</f>
        <v/>
      </c>
      <c r="G86" s="8"/>
      <c r="H86" s="9" t="str">
        <f ca="1">IFERROR(__xludf.dummyfunction("iferror(1000+INT(($N$4-(index(split(G87,"":""),1)*60+index(split(G87,"":""),2 )))/0.2+1)*$N$5,"""")"),"")</f>
        <v/>
      </c>
      <c r="I86" s="8" t="str">
        <f ca="1">IFERROR(_xlfn.RANK.EQ(H86,H:H),"")</f>
        <v/>
      </c>
      <c r="J86" s="8" t="str">
        <f t="shared" si="3"/>
        <v/>
      </c>
      <c r="K86" s="8" t="str">
        <f>IFERROR(_xlfn.RANK.EQ(J86,J:J),"")</f>
        <v/>
      </c>
      <c r="L86" s="8"/>
    </row>
    <row r="87" spans="1:12" ht="14" x14ac:dyDescent="0.3">
      <c r="A87" s="8"/>
      <c r="B87" s="8"/>
      <c r="C87" s="8"/>
      <c r="D87" s="8"/>
      <c r="E87" s="9" t="str">
        <f ca="1">IFERROR(__xludf.dummyfunction("iferror(1000+INT(($N$2-(index(split(D88,"":""),1)*60+index(split(D88,"":""),2 )))/0.2+1)*$N$3,"""")"),"")</f>
        <v/>
      </c>
      <c r="F87" s="8" t="str">
        <f ca="1">IFERROR(_xlfn.RANK.EQ(E87,E:E),"")</f>
        <v/>
      </c>
      <c r="G87" s="8"/>
      <c r="H87" s="9" t="str">
        <f ca="1">IFERROR(__xludf.dummyfunction("iferror(1000+INT(($N$4-(index(split(G88,"":""),1)*60+index(split(G88,"":""),2 )))/0.2+1)*$N$5,"""")"),"")</f>
        <v/>
      </c>
      <c r="I87" s="8" t="str">
        <f ca="1">IFERROR(_xlfn.RANK.EQ(H87,H:H),"")</f>
        <v/>
      </c>
      <c r="J87" s="8" t="str">
        <f t="shared" si="3"/>
        <v/>
      </c>
      <c r="K87" s="8" t="str">
        <f>IFERROR(_xlfn.RANK.EQ(J87,J:J),"")</f>
        <v/>
      </c>
      <c r="L87" s="8"/>
    </row>
    <row r="88" spans="1:12" ht="14" x14ac:dyDescent="0.3">
      <c r="A88" s="8"/>
      <c r="B88" s="8"/>
      <c r="C88" s="8"/>
      <c r="D88" s="8"/>
      <c r="E88" s="9" t="str">
        <f ca="1">IFERROR(__xludf.dummyfunction("iferror(1000+INT(($N$2-(index(split(D89,"":""),1)*60+index(split(D89,"":""),2 )))/0.2+1)*$N$3,"""")"),"")</f>
        <v/>
      </c>
      <c r="F88" s="8" t="str">
        <f ca="1">IFERROR(_xlfn.RANK.EQ(E88,E:E),"")</f>
        <v/>
      </c>
      <c r="G88" s="8"/>
      <c r="H88" s="9" t="str">
        <f ca="1">IFERROR(__xludf.dummyfunction("iferror(1000+INT(($N$4-(index(split(G89,"":""),1)*60+index(split(G89,"":""),2 )))/0.2+1)*$N$5,"""")"),"")</f>
        <v/>
      </c>
      <c r="I88" s="8" t="str">
        <f ca="1">IFERROR(_xlfn.RANK.EQ(H88,H:H),"")</f>
        <v/>
      </c>
      <c r="J88" s="8" t="str">
        <f t="shared" si="3"/>
        <v/>
      </c>
      <c r="K88" s="8" t="str">
        <f>IFERROR(_xlfn.RANK.EQ(J88,J:J),"")</f>
        <v/>
      </c>
      <c r="L88" s="8"/>
    </row>
    <row r="89" spans="1:12" ht="14" x14ac:dyDescent="0.3">
      <c r="A89" s="8"/>
      <c r="B89" s="8"/>
      <c r="C89" s="8"/>
      <c r="D89" s="8"/>
      <c r="E89" s="9" t="str">
        <f ca="1">IFERROR(__xludf.dummyfunction("iferror(1000+INT(($N$2-(index(split(D90,"":""),1)*60+index(split(D90,"":""),2 )))/0.2+1)*$N$3,"""")"),"")</f>
        <v/>
      </c>
      <c r="F89" s="8" t="str">
        <f ca="1">IFERROR(_xlfn.RANK.EQ(E89,E:E),"")</f>
        <v/>
      </c>
      <c r="G89" s="8"/>
      <c r="H89" s="9" t="str">
        <f ca="1">IFERROR(__xludf.dummyfunction("iferror(1000+INT(($N$4-(index(split(G90,"":""),1)*60+index(split(G90,"":""),2 )))/0.2+1)*$N$5,"""")"),"")</f>
        <v/>
      </c>
      <c r="I89" s="8" t="str">
        <f ca="1">IFERROR(_xlfn.RANK.EQ(H89,H:H),"")</f>
        <v/>
      </c>
      <c r="J89" s="8" t="str">
        <f t="shared" si="3"/>
        <v/>
      </c>
      <c r="K89" s="8" t="str">
        <f>IFERROR(_xlfn.RANK.EQ(J89,J:J),"")</f>
        <v/>
      </c>
      <c r="L89" s="8"/>
    </row>
    <row r="90" spans="1:12" ht="14" x14ac:dyDescent="0.3">
      <c r="A90" s="8"/>
      <c r="B90" s="8"/>
      <c r="C90" s="8"/>
      <c r="D90" s="8"/>
      <c r="E90" s="9" t="str">
        <f ca="1">IFERROR(__xludf.dummyfunction("iferror(1000+INT(($N$2-(index(split(D91,"":""),1)*60+index(split(D91,"":""),2 )))/0.2+1)*$N$3,"""")"),"")</f>
        <v/>
      </c>
      <c r="F90" s="8" t="str">
        <f ca="1">IFERROR(_xlfn.RANK.EQ(E90,E:E),"")</f>
        <v/>
      </c>
      <c r="G90" s="8"/>
      <c r="H90" s="9" t="str">
        <f ca="1">IFERROR(__xludf.dummyfunction("iferror(1000+INT(($N$4-(index(split(G91,"":""),1)*60+index(split(G91,"":""),2 )))/0.2+1)*$N$5,"""")"),"")</f>
        <v/>
      </c>
      <c r="I90" s="8" t="str">
        <f ca="1">IFERROR(_xlfn.RANK.EQ(H90,H:H),"")</f>
        <v/>
      </c>
      <c r="J90" s="8" t="str">
        <f t="shared" si="3"/>
        <v/>
      </c>
      <c r="K90" s="8" t="str">
        <f>IFERROR(_xlfn.RANK.EQ(J90,J:J),"")</f>
        <v/>
      </c>
      <c r="L90" s="8"/>
    </row>
    <row r="91" spans="1:12" ht="14" x14ac:dyDescent="0.3">
      <c r="A91" s="8"/>
      <c r="B91" s="8"/>
      <c r="C91" s="8"/>
      <c r="D91" s="8"/>
      <c r="E91" s="9" t="str">
        <f ca="1">IFERROR(__xludf.dummyfunction("iferror(1000+INT(($N$2-(index(split(D92,"":""),1)*60+index(split(D92,"":""),2 )))/0.2+1)*$N$3,"""")"),"")</f>
        <v/>
      </c>
      <c r="F91" s="8" t="str">
        <f ca="1">IFERROR(_xlfn.RANK.EQ(E91,E:E),"")</f>
        <v/>
      </c>
      <c r="G91" s="8"/>
      <c r="H91" s="9" t="str">
        <f ca="1">IFERROR(__xludf.dummyfunction("iferror(1000+INT(($N$4-(index(split(G92,"":""),1)*60+index(split(G92,"":""),2 )))/0.2+1)*$N$5,"""")"),"")</f>
        <v/>
      </c>
      <c r="I91" s="8" t="str">
        <f ca="1">IFERROR(_xlfn.RANK.EQ(H91,H:H),"")</f>
        <v/>
      </c>
      <c r="J91" s="8" t="str">
        <f t="shared" si="3"/>
        <v/>
      </c>
      <c r="K91" s="8" t="str">
        <f>IFERROR(_xlfn.RANK.EQ(J91,J:J),"")</f>
        <v/>
      </c>
      <c r="L91" s="8"/>
    </row>
    <row r="92" spans="1:12" ht="14" x14ac:dyDescent="0.3">
      <c r="A92" s="8"/>
      <c r="B92" s="8"/>
      <c r="C92" s="8"/>
      <c r="D92" s="8"/>
      <c r="E92" s="9" t="str">
        <f ca="1">IFERROR(__xludf.dummyfunction("iferror(1000+INT(($N$2-(index(split(D93,"":""),1)*60+index(split(D93,"":""),2 )))/0.2+1)*$N$3,"""")"),"")</f>
        <v/>
      </c>
      <c r="F92" s="8" t="str">
        <f ca="1">IFERROR(_xlfn.RANK.EQ(E92,E:E),"")</f>
        <v/>
      </c>
      <c r="G92" s="8"/>
      <c r="H92" s="9" t="str">
        <f ca="1">IFERROR(__xludf.dummyfunction("iferror(1000+INT(($N$4-(index(split(G93,"":""),1)*60+index(split(G93,"":""),2 )))/0.2+1)*$N$5,"""")"),"")</f>
        <v/>
      </c>
      <c r="I92" s="8" t="str">
        <f ca="1">IFERROR(_xlfn.RANK.EQ(H92,H:H),"")</f>
        <v/>
      </c>
      <c r="J92" s="8" t="str">
        <f t="shared" si="3"/>
        <v/>
      </c>
      <c r="K92" s="8" t="str">
        <f>IFERROR(_xlfn.RANK.EQ(J92,J:J),"")</f>
        <v/>
      </c>
      <c r="L92" s="8"/>
    </row>
    <row r="93" spans="1:12" ht="14" x14ac:dyDescent="0.3">
      <c r="A93" s="8"/>
      <c r="B93" s="8"/>
      <c r="C93" s="8"/>
      <c r="D93" s="8"/>
      <c r="E93" s="9" t="str">
        <f ca="1">IFERROR(__xludf.dummyfunction("iferror(1000+INT(($N$2-(index(split(D94,"":""),1)*60+index(split(D94,"":""),2 )))/0.2+1)*$N$3,"""")"),"")</f>
        <v/>
      </c>
      <c r="F93" s="8" t="str">
        <f ca="1">IFERROR(_xlfn.RANK.EQ(E93,E:E),"")</f>
        <v/>
      </c>
      <c r="G93" s="8"/>
      <c r="H93" s="9" t="str">
        <f ca="1">IFERROR(__xludf.dummyfunction("iferror(1000+INT(($N$4-(index(split(G94,"":""),1)*60+index(split(G94,"":""),2 )))/0.2+1)*$N$5,"""")"),"")</f>
        <v/>
      </c>
      <c r="I93" s="8" t="str">
        <f ca="1">IFERROR(_xlfn.RANK.EQ(H93,H:H),"")</f>
        <v/>
      </c>
      <c r="J93" s="8" t="str">
        <f t="shared" si="3"/>
        <v/>
      </c>
      <c r="K93" s="8" t="str">
        <f>IFERROR(_xlfn.RANK.EQ(J93,J:J),"")</f>
        <v/>
      </c>
      <c r="L93" s="8"/>
    </row>
    <row r="94" spans="1:12" ht="14" x14ac:dyDescent="0.3">
      <c r="A94" s="8"/>
      <c r="B94" s="8"/>
      <c r="C94" s="8"/>
      <c r="D94" s="8"/>
      <c r="E94" s="9" t="str">
        <f ca="1">IFERROR(__xludf.dummyfunction("iferror(1000+INT(($N$2-(index(split(D95,"":""),1)*60+index(split(D95,"":""),2 )))/0.2+1)*$N$3,"""")"),"")</f>
        <v/>
      </c>
      <c r="F94" s="8" t="str">
        <f ca="1">IFERROR(_xlfn.RANK.EQ(E94,E:E),"")</f>
        <v/>
      </c>
      <c r="G94" s="8"/>
      <c r="H94" s="9" t="str">
        <f ca="1">IFERROR(__xludf.dummyfunction("iferror(1000+INT(($N$4-(index(split(G95,"":""),1)*60+index(split(G95,"":""),2 )))/0.2+1)*$N$5,"""")"),"")</f>
        <v/>
      </c>
      <c r="I94" s="8" t="str">
        <f ca="1">IFERROR(_xlfn.RANK.EQ(H94,H:H),"")</f>
        <v/>
      </c>
      <c r="J94" s="8" t="str">
        <f t="shared" si="3"/>
        <v/>
      </c>
      <c r="K94" s="8" t="str">
        <f>IFERROR(_xlfn.RANK.EQ(J94,J:J),"")</f>
        <v/>
      </c>
      <c r="L94" s="8"/>
    </row>
    <row r="95" spans="1:12" ht="14" x14ac:dyDescent="0.3">
      <c r="A95" s="8"/>
      <c r="B95" s="8"/>
      <c r="C95" s="8"/>
      <c r="D95" s="8"/>
      <c r="E95" s="9" t="str">
        <f ca="1">IFERROR(__xludf.dummyfunction("iferror(1000+INT(($N$2-(index(split(D96,"":""),1)*60+index(split(D96,"":""),2 )))/0.2+1)*$N$3,"""")"),"")</f>
        <v/>
      </c>
      <c r="F95" s="8" t="str">
        <f ca="1">IFERROR(_xlfn.RANK.EQ(E95,E:E),"")</f>
        <v/>
      </c>
      <c r="G95" s="8"/>
      <c r="H95" s="9" t="str">
        <f ca="1">IFERROR(__xludf.dummyfunction("iferror(1000+INT(($N$4-(index(split(G96,"":""),1)*60+index(split(G96,"":""),2 )))/0.2+1)*$N$5,"""")"),"")</f>
        <v/>
      </c>
      <c r="I95" s="8" t="str">
        <f ca="1">IFERROR(_xlfn.RANK.EQ(H95,H:H),"")</f>
        <v/>
      </c>
      <c r="J95" s="8" t="str">
        <f t="shared" si="3"/>
        <v/>
      </c>
      <c r="K95" s="8" t="str">
        <f>IFERROR(_xlfn.RANK.EQ(J95,J:J),"")</f>
        <v/>
      </c>
      <c r="L95" s="8"/>
    </row>
    <row r="96" spans="1:12" ht="14" x14ac:dyDescent="0.3">
      <c r="A96" s="8"/>
      <c r="B96" s="8"/>
      <c r="C96" s="8"/>
      <c r="D96" s="8"/>
      <c r="E96" s="9" t="str">
        <f ca="1">IFERROR(__xludf.dummyfunction("iferror(1000+INT(($N$2-(index(split(D97,"":""),1)*60+index(split(D97,"":""),2 )))/0.2+1)*$N$3,"""")"),"")</f>
        <v/>
      </c>
      <c r="F96" s="8" t="str">
        <f ca="1">IFERROR(_xlfn.RANK.EQ(E96,E:E),"")</f>
        <v/>
      </c>
      <c r="G96" s="8"/>
      <c r="H96" s="9" t="str">
        <f ca="1">IFERROR(__xludf.dummyfunction("iferror(1000+INT(($N$4-(index(split(G97,"":""),1)*60+index(split(G97,"":""),2 )))/0.2+1)*$N$5,"""")"),"")</f>
        <v/>
      </c>
      <c r="I96" s="8" t="str">
        <f ca="1">IFERROR(_xlfn.RANK.EQ(H96,H:H),"")</f>
        <v/>
      </c>
      <c r="J96" s="8" t="str">
        <f t="shared" si="3"/>
        <v/>
      </c>
      <c r="K96" s="8" t="str">
        <f>IFERROR(_xlfn.RANK.EQ(J96,J:J),"")</f>
        <v/>
      </c>
      <c r="L96" s="8"/>
    </row>
    <row r="97" spans="1:12" ht="14" x14ac:dyDescent="0.3">
      <c r="A97" s="8"/>
      <c r="B97" s="8"/>
      <c r="C97" s="8"/>
      <c r="D97" s="8"/>
      <c r="E97" s="9" t="str">
        <f ca="1">IFERROR(__xludf.dummyfunction("iferror(1000+INT(($N$2-(index(split(D98,"":""),1)*60+index(split(D98,"":""),2 )))/0.2+1)*$N$3,"""")"),"")</f>
        <v/>
      </c>
      <c r="F97" s="8" t="str">
        <f ca="1">IFERROR(_xlfn.RANK.EQ(E97,E:E),"")</f>
        <v/>
      </c>
      <c r="G97" s="8"/>
      <c r="H97" s="9" t="str">
        <f ca="1">IFERROR(__xludf.dummyfunction("iferror(1000+INT(($N$4-(index(split(G98,"":""),1)*60+index(split(G98,"":""),2 )))/0.2+1)*$N$5,"""")"),"")</f>
        <v/>
      </c>
      <c r="I97" s="8" t="str">
        <f ca="1">IFERROR(_xlfn.RANK.EQ(H97,H:H),"")</f>
        <v/>
      </c>
      <c r="J97" s="8" t="str">
        <f t="shared" si="3"/>
        <v/>
      </c>
      <c r="K97" s="8" t="str">
        <f>IFERROR(_xlfn.RANK.EQ(J97,J:J),"")</f>
        <v/>
      </c>
      <c r="L97" s="8"/>
    </row>
    <row r="98" spans="1:12" ht="14" x14ac:dyDescent="0.3">
      <c r="A98" s="8"/>
      <c r="B98" s="8"/>
      <c r="C98" s="8"/>
      <c r="D98" s="8"/>
      <c r="E98" s="9" t="str">
        <f ca="1">IFERROR(__xludf.dummyfunction("iferror(1000+INT(($N$2-(index(split(D99,"":""),1)*60+index(split(D99,"":""),2 )))/0.2+1)*$N$3,"""")"),"")</f>
        <v/>
      </c>
      <c r="F98" s="8" t="str">
        <f ca="1">IFERROR(_xlfn.RANK.EQ(E98,E:E),"")</f>
        <v/>
      </c>
      <c r="G98" s="8"/>
      <c r="H98" s="9" t="str">
        <f ca="1">IFERROR(__xludf.dummyfunction("iferror(1000+INT(($N$4-(index(split(G99,"":""),1)*60+index(split(G99,"":""),2 )))/0.2+1)*$N$5,"""")"),"")</f>
        <v/>
      </c>
      <c r="I98" s="8" t="str">
        <f ca="1">IFERROR(_xlfn.RANK.EQ(H98,H:H),"")</f>
        <v/>
      </c>
      <c r="J98" s="8" t="str">
        <f t="shared" si="3"/>
        <v/>
      </c>
      <c r="K98" s="8" t="str">
        <f>IFERROR(_xlfn.RANK.EQ(J98,J:J),"")</f>
        <v/>
      </c>
      <c r="L98" s="8"/>
    </row>
    <row r="99" spans="1:12" ht="14" x14ac:dyDescent="0.3">
      <c r="A99" s="8"/>
      <c r="B99" s="8"/>
      <c r="C99" s="8"/>
      <c r="D99" s="8"/>
      <c r="E99" s="9" t="str">
        <f ca="1">IFERROR(__xludf.dummyfunction("iferror(1000+INT(($N$2-(index(split(D100,"":""),1)*60+index(split(D100,"":""),2 )))/0.2+1)*$N$3,"""")"),"")</f>
        <v/>
      </c>
      <c r="F99" s="8" t="str">
        <f ca="1">IFERROR(_xlfn.RANK.EQ(E99,E:E),"")</f>
        <v/>
      </c>
      <c r="G99" s="8"/>
      <c r="H99" s="9" t="str">
        <f ca="1">IFERROR(__xludf.dummyfunction("iferror(1000+INT(($N$4-(index(split(G100,"":""),1)*60+index(split(G100,"":""),2 )))/0.2+1)*$N$5,"""")"),"")</f>
        <v/>
      </c>
      <c r="I99" s="8" t="str">
        <f ca="1">IFERROR(_xlfn.RANK.EQ(H99,H:H),"")</f>
        <v/>
      </c>
      <c r="J99" s="8" t="str">
        <f t="shared" si="3"/>
        <v/>
      </c>
      <c r="K99" s="8" t="str">
        <f>IFERROR(_xlfn.RANK.EQ(J99,J:J),"")</f>
        <v/>
      </c>
      <c r="L99" s="8"/>
    </row>
    <row r="100" spans="1:12" ht="14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4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14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14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14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14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14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ht="14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ht="14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ht="14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ht="14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ht="14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ht="14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ht="14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ht="14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ht="14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ht="14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ht="14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ht="14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ht="14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ht="14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ht="14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ht="14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ht="14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ht="14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ht="14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ht="14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ht="14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ht="14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ht="14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ht="14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ht="14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ht="14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ht="14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ht="14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ht="14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ht="14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ht="14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ht="14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ht="14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ht="14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ht="14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ht="14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ht="14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ht="14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ht="14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ht="14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ht="14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ht="14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ht="14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ht="14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ht="14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ht="14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ht="14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ht="14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ht="14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ht="14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ht="14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ht="14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ht="14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 ht="14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ht="14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ht="14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ht="14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ht="14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ht="14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ht="14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 ht="14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ht="14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ht="14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ht="14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ht="14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ht="14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ht="14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 ht="14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ht="14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ht="14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ht="14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ht="14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 ht="14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ht="14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 ht="14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 ht="14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ht="14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 ht="14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 ht="14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ht="14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 ht="14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 ht="14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ht="14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 ht="14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 ht="14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ht="14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 ht="14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 ht="14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ht="14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ht="14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ht="14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ht="14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ht="14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ht="14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ht="14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ht="14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 ht="14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ht="14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 ht="14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ht="14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ht="14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 ht="14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ht="14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ht="14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 ht="14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 ht="14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 ht="14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ht="14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 ht="14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 ht="14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 ht="14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 ht="14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 ht="14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 ht="14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 ht="14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ht="14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 ht="14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 ht="14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ht="14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 ht="14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 ht="14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 ht="14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 ht="14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 ht="14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 ht="14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 ht="14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 ht="14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 ht="14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 ht="14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 ht="14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 ht="14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 ht="14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 ht="14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ht="14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ht="14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 ht="14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 ht="14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 ht="14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 ht="14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 ht="14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 ht="14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 ht="14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 ht="14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 ht="14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 ht="14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  <row r="252" spans="1:12" ht="14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</row>
    <row r="253" spans="1:12" ht="14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</row>
    <row r="254" spans="1:12" ht="14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</row>
    <row r="255" spans="1:12" ht="14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</row>
    <row r="256" spans="1:12" ht="14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</row>
    <row r="257" spans="1:12" ht="14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</row>
    <row r="258" spans="1:12" ht="14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</row>
    <row r="259" spans="1:12" ht="14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</row>
    <row r="260" spans="1:12" ht="14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</row>
    <row r="261" spans="1:12" ht="14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</row>
    <row r="262" spans="1:12" ht="14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</row>
    <row r="263" spans="1:12" ht="14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</row>
    <row r="264" spans="1:12" ht="14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</row>
    <row r="265" spans="1:12" ht="14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</row>
    <row r="266" spans="1:12" ht="14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</row>
    <row r="267" spans="1:12" ht="14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</row>
    <row r="268" spans="1:12" ht="14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</row>
    <row r="269" spans="1:12" ht="14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</row>
    <row r="270" spans="1:12" ht="14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</row>
    <row r="271" spans="1:12" ht="14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</row>
    <row r="272" spans="1:12" ht="14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</row>
    <row r="273" spans="1:12" ht="14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</row>
    <row r="274" spans="1:12" ht="14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</row>
    <row r="275" spans="1:12" ht="14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</row>
    <row r="276" spans="1:12" ht="14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</row>
    <row r="277" spans="1:12" ht="14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</row>
    <row r="278" spans="1:12" ht="14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</row>
    <row r="279" spans="1:12" ht="14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</row>
    <row r="280" spans="1:12" ht="14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</row>
    <row r="281" spans="1:12" ht="14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</row>
    <row r="282" spans="1:12" ht="14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</row>
    <row r="283" spans="1:12" ht="14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</row>
    <row r="284" spans="1:12" ht="14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</row>
    <row r="285" spans="1:12" ht="14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</row>
    <row r="286" spans="1:12" ht="14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</row>
    <row r="287" spans="1:12" ht="14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</row>
    <row r="288" spans="1:12" ht="14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</row>
    <row r="289" spans="1:12" ht="14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</row>
    <row r="290" spans="1:12" ht="14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</row>
    <row r="291" spans="1:12" ht="14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</row>
    <row r="292" spans="1:12" ht="14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</row>
    <row r="293" spans="1:12" ht="14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</row>
    <row r="294" spans="1:12" ht="14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</row>
    <row r="295" spans="1:12" ht="14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</row>
    <row r="296" spans="1:12" ht="14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</row>
    <row r="297" spans="1:12" ht="14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</row>
    <row r="298" spans="1:12" ht="14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</row>
    <row r="299" spans="1:12" ht="14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</row>
    <row r="300" spans="1:12" ht="14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</row>
    <row r="301" spans="1:12" ht="14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</row>
    <row r="302" spans="1:12" ht="14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</row>
    <row r="303" spans="1:12" ht="14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</row>
    <row r="304" spans="1:12" ht="14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</row>
    <row r="305" spans="1:12" ht="14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</row>
    <row r="306" spans="1:12" ht="14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</row>
    <row r="307" spans="1:12" ht="14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</row>
    <row r="308" spans="1:12" ht="14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</row>
    <row r="309" spans="1:12" ht="14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</row>
    <row r="310" spans="1:12" ht="14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</row>
    <row r="311" spans="1:12" ht="14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</row>
    <row r="312" spans="1:12" ht="14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</row>
    <row r="313" spans="1:12" ht="14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</row>
    <row r="314" spans="1:12" ht="14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</row>
    <row r="315" spans="1:12" ht="14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</row>
    <row r="316" spans="1:12" ht="14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</row>
    <row r="317" spans="1:12" ht="14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</row>
    <row r="318" spans="1:12" ht="14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</row>
    <row r="319" spans="1:12" ht="14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</row>
    <row r="320" spans="1:12" ht="14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</row>
    <row r="321" spans="1:12" ht="14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</row>
    <row r="322" spans="1:12" ht="14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</row>
    <row r="323" spans="1:12" ht="14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</row>
    <row r="324" spans="1:12" ht="14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</row>
    <row r="325" spans="1:12" ht="14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</row>
    <row r="326" spans="1:12" ht="14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</row>
    <row r="327" spans="1:12" ht="14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</row>
    <row r="328" spans="1:12" ht="14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</row>
    <row r="329" spans="1:12" ht="14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</row>
    <row r="330" spans="1:12" ht="14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</row>
    <row r="331" spans="1:12" ht="14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</row>
    <row r="332" spans="1:12" ht="14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</row>
    <row r="333" spans="1:12" ht="14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</row>
    <row r="334" spans="1:12" ht="14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</row>
    <row r="335" spans="1:12" ht="14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</row>
    <row r="336" spans="1:12" ht="14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</row>
    <row r="337" spans="1:12" ht="14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</row>
    <row r="338" spans="1:12" ht="14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</row>
    <row r="339" spans="1:12" ht="14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</row>
    <row r="340" spans="1:12" ht="14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</row>
    <row r="341" spans="1:12" ht="14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</row>
    <row r="342" spans="1:12" ht="14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</row>
    <row r="343" spans="1:12" ht="14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</row>
    <row r="344" spans="1:12" ht="14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</row>
    <row r="345" spans="1:12" ht="14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</row>
    <row r="346" spans="1:12" ht="14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</row>
    <row r="347" spans="1:12" ht="14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</row>
    <row r="348" spans="1:12" ht="14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</row>
    <row r="349" spans="1:12" ht="14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</row>
    <row r="350" spans="1:12" ht="14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</row>
    <row r="351" spans="1:12" ht="14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</row>
    <row r="352" spans="1:12" ht="14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</row>
    <row r="353" spans="1:12" ht="14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</row>
    <row r="354" spans="1:12" ht="14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</row>
    <row r="355" spans="1:12" ht="14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</row>
    <row r="356" spans="1:12" ht="14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</row>
    <row r="357" spans="1:12" ht="14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</row>
    <row r="358" spans="1:12" ht="14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</row>
    <row r="359" spans="1:12" ht="14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</row>
    <row r="360" spans="1:12" ht="14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</row>
    <row r="361" spans="1:12" ht="14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</row>
    <row r="362" spans="1:12" ht="14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</row>
    <row r="363" spans="1:12" ht="14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</row>
    <row r="364" spans="1:12" ht="14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</row>
    <row r="365" spans="1:12" ht="14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</row>
    <row r="366" spans="1:12" ht="14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</row>
    <row r="367" spans="1:12" ht="14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</row>
    <row r="368" spans="1:12" ht="14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</row>
    <row r="369" spans="1:12" ht="14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</row>
    <row r="370" spans="1:12" ht="14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</row>
    <row r="371" spans="1:12" ht="14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</row>
    <row r="372" spans="1:12" ht="14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</row>
    <row r="373" spans="1:12" ht="14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</row>
    <row r="374" spans="1:12" ht="14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</row>
    <row r="375" spans="1:12" ht="14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</row>
    <row r="376" spans="1:12" ht="14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</row>
    <row r="377" spans="1:12" ht="14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</row>
    <row r="378" spans="1:12" ht="14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</row>
    <row r="379" spans="1:12" ht="14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</row>
    <row r="380" spans="1:12" ht="14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</row>
    <row r="381" spans="1:12" ht="14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</row>
    <row r="382" spans="1:12" ht="14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</row>
    <row r="383" spans="1:12" ht="14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</row>
    <row r="384" spans="1:12" ht="14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</row>
    <row r="385" spans="1:12" ht="14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</row>
    <row r="386" spans="1:12" ht="14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</row>
    <row r="387" spans="1:12" ht="14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</row>
    <row r="388" spans="1:12" ht="14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</row>
    <row r="389" spans="1:12" ht="14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</row>
    <row r="390" spans="1:12" ht="14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</row>
    <row r="391" spans="1:12" ht="14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</row>
    <row r="392" spans="1:12" ht="14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</row>
    <row r="393" spans="1:12" ht="14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</row>
    <row r="394" spans="1:12" ht="14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</row>
    <row r="395" spans="1:12" ht="14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</row>
    <row r="396" spans="1:12" ht="14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</row>
    <row r="397" spans="1:12" ht="14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</row>
    <row r="398" spans="1:12" ht="14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</row>
    <row r="399" spans="1:12" ht="14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</row>
    <row r="400" spans="1:12" ht="14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</row>
    <row r="401" spans="1:12" ht="14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</row>
    <row r="402" spans="1:12" ht="14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</row>
    <row r="403" spans="1:12" ht="14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</row>
    <row r="404" spans="1:12" ht="14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</row>
    <row r="405" spans="1:12" ht="14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</row>
    <row r="406" spans="1:12" ht="14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</row>
    <row r="407" spans="1:12" ht="14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</row>
    <row r="408" spans="1:12" ht="14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</row>
    <row r="409" spans="1:12" ht="14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</row>
    <row r="410" spans="1:12" ht="14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</row>
    <row r="411" spans="1:12" ht="14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</row>
    <row r="412" spans="1:12" ht="14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</row>
    <row r="413" spans="1:12" ht="14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</row>
    <row r="414" spans="1:12" ht="14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</row>
    <row r="415" spans="1:12" ht="14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</row>
    <row r="416" spans="1:12" ht="14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</row>
    <row r="417" spans="1:12" ht="14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</row>
    <row r="418" spans="1:12" ht="14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</row>
    <row r="419" spans="1:12" ht="14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</row>
    <row r="420" spans="1:12" ht="14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</row>
    <row r="421" spans="1:12" ht="14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</row>
    <row r="422" spans="1:12" ht="14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</row>
    <row r="423" spans="1:12" ht="14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</row>
    <row r="424" spans="1:12" ht="14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</row>
    <row r="425" spans="1:12" ht="14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</row>
    <row r="426" spans="1:12" ht="14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</row>
    <row r="427" spans="1:12" ht="14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</row>
    <row r="428" spans="1:12" ht="14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</row>
    <row r="429" spans="1:12" ht="14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</row>
    <row r="430" spans="1:12" ht="14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</row>
    <row r="431" spans="1:12" ht="14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</row>
    <row r="432" spans="1:12" ht="14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</row>
    <row r="433" spans="1:12" ht="14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</row>
    <row r="434" spans="1:12" ht="14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</row>
    <row r="435" spans="1:12" ht="14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</row>
    <row r="436" spans="1:12" ht="14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</row>
    <row r="437" spans="1:12" ht="14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</row>
    <row r="438" spans="1:12" ht="14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</row>
    <row r="439" spans="1:12" ht="14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</row>
    <row r="440" spans="1:12" ht="14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</row>
    <row r="441" spans="1:12" ht="14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</row>
    <row r="442" spans="1:12" ht="14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</row>
    <row r="443" spans="1:12" ht="14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</row>
    <row r="444" spans="1:12" ht="14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</row>
    <row r="445" spans="1:12" ht="14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</row>
    <row r="446" spans="1:12" ht="14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</row>
    <row r="447" spans="1:12" ht="14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</row>
    <row r="448" spans="1:12" ht="14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</row>
    <row r="449" spans="1:12" ht="14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</row>
    <row r="450" spans="1:12" ht="14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</row>
    <row r="451" spans="1:12" ht="14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</row>
    <row r="452" spans="1:12" ht="14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</row>
    <row r="453" spans="1:12" ht="14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</row>
    <row r="454" spans="1:12" ht="14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</row>
    <row r="455" spans="1:12" ht="14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</row>
    <row r="456" spans="1:12" ht="14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</row>
    <row r="457" spans="1:12" ht="14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</row>
    <row r="458" spans="1:12" ht="14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</row>
    <row r="459" spans="1:12" ht="14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</row>
    <row r="460" spans="1:12" ht="14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</row>
    <row r="461" spans="1:12" ht="14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</row>
    <row r="462" spans="1:12" ht="14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</row>
    <row r="463" spans="1:12" ht="14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</row>
    <row r="464" spans="1:12" ht="14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</row>
    <row r="465" spans="1:12" ht="14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</row>
    <row r="466" spans="1:12" ht="14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</row>
    <row r="467" spans="1:12" ht="14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</row>
    <row r="468" spans="1:12" ht="14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</row>
    <row r="469" spans="1:12" ht="14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</row>
    <row r="470" spans="1:12" ht="14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</row>
    <row r="471" spans="1:12" ht="14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</row>
    <row r="472" spans="1:12" ht="14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</row>
    <row r="473" spans="1:12" ht="14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</row>
    <row r="474" spans="1:12" ht="14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</row>
    <row r="475" spans="1:12" ht="14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</row>
    <row r="476" spans="1:12" ht="14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</row>
    <row r="477" spans="1:12" ht="14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</row>
    <row r="478" spans="1:12" ht="14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</row>
    <row r="479" spans="1:12" ht="14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</row>
    <row r="480" spans="1:12" ht="14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</row>
    <row r="481" spans="1:12" ht="14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</row>
    <row r="482" spans="1:12" ht="14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</row>
    <row r="483" spans="1:12" ht="14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</row>
    <row r="484" spans="1:12" ht="14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</row>
    <row r="485" spans="1:12" ht="14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</row>
    <row r="486" spans="1:12" ht="14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</row>
    <row r="487" spans="1:12" ht="14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</row>
    <row r="488" spans="1:12" ht="14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</row>
    <row r="489" spans="1:12" ht="14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</row>
    <row r="490" spans="1:12" ht="14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</row>
    <row r="491" spans="1:12" ht="14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</row>
    <row r="492" spans="1:12" ht="14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</row>
    <row r="493" spans="1:12" ht="14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</row>
    <row r="494" spans="1:12" ht="14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</row>
    <row r="495" spans="1:12" ht="14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</row>
    <row r="496" spans="1:12" ht="14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</row>
    <row r="497" spans="1:12" ht="14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</row>
    <row r="498" spans="1:12" ht="14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</row>
    <row r="499" spans="1:12" ht="14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</row>
    <row r="500" spans="1:12" ht="14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</row>
    <row r="501" spans="1:12" ht="14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</row>
    <row r="502" spans="1:12" ht="14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</row>
    <row r="503" spans="1:12" ht="14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</row>
    <row r="504" spans="1:12" ht="14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</row>
    <row r="505" spans="1:12" ht="14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</row>
    <row r="506" spans="1:12" ht="14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</row>
    <row r="507" spans="1:12" ht="14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</row>
    <row r="508" spans="1:12" ht="14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</row>
    <row r="509" spans="1:12" ht="14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</row>
    <row r="510" spans="1:12" ht="14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</row>
    <row r="511" spans="1:12" ht="14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</row>
    <row r="512" spans="1:12" ht="14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</row>
    <row r="513" spans="1:12" ht="14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</row>
    <row r="514" spans="1:12" ht="14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</row>
    <row r="515" spans="1:12" ht="14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</row>
    <row r="516" spans="1:12" ht="14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</row>
    <row r="517" spans="1:12" ht="14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</row>
    <row r="518" spans="1:12" ht="14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</row>
    <row r="519" spans="1:12" ht="14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</row>
    <row r="520" spans="1:12" ht="14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</row>
    <row r="521" spans="1:12" ht="14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</row>
    <row r="522" spans="1:12" ht="14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</row>
    <row r="523" spans="1:12" ht="14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</row>
    <row r="524" spans="1:12" ht="14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</row>
    <row r="525" spans="1:12" ht="14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</row>
    <row r="526" spans="1:12" ht="14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</row>
    <row r="527" spans="1:12" ht="14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</row>
    <row r="528" spans="1:12" ht="14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</row>
    <row r="529" spans="1:12" ht="14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</row>
    <row r="530" spans="1:12" ht="14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</row>
    <row r="531" spans="1:12" ht="14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</row>
    <row r="532" spans="1:12" ht="14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</row>
    <row r="533" spans="1:12" ht="14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</row>
    <row r="534" spans="1:12" ht="14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</row>
    <row r="535" spans="1:12" ht="14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</row>
    <row r="536" spans="1:12" ht="14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</row>
    <row r="537" spans="1:12" ht="14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</row>
    <row r="538" spans="1:12" ht="14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</row>
    <row r="539" spans="1:12" ht="14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</row>
    <row r="540" spans="1:12" ht="14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</row>
    <row r="541" spans="1:12" ht="14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</row>
    <row r="542" spans="1:12" ht="14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</row>
    <row r="543" spans="1:12" ht="14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</row>
    <row r="544" spans="1:12" ht="14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</row>
    <row r="545" spans="1:12" ht="14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</row>
    <row r="546" spans="1:12" ht="14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</row>
    <row r="547" spans="1:12" ht="14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</row>
    <row r="548" spans="1:12" ht="14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</row>
    <row r="549" spans="1:12" ht="14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</row>
    <row r="550" spans="1:12" ht="14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</row>
    <row r="551" spans="1:12" ht="14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</row>
    <row r="552" spans="1:12" ht="14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</row>
    <row r="553" spans="1:12" ht="14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</row>
    <row r="554" spans="1:12" ht="14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</row>
    <row r="555" spans="1:12" ht="14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</row>
    <row r="556" spans="1:12" ht="14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</row>
    <row r="557" spans="1:12" ht="14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</row>
    <row r="558" spans="1:12" ht="14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</row>
    <row r="559" spans="1:12" ht="14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</row>
    <row r="560" spans="1:12" ht="14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</row>
    <row r="561" spans="1:12" ht="14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</row>
    <row r="562" spans="1:12" ht="14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</row>
    <row r="563" spans="1:12" ht="14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</row>
    <row r="564" spans="1:12" ht="14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</row>
    <row r="565" spans="1:12" ht="14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</row>
    <row r="566" spans="1:12" ht="14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</row>
    <row r="567" spans="1:12" ht="14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</row>
    <row r="568" spans="1:12" ht="14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</row>
    <row r="569" spans="1:12" ht="14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</row>
    <row r="570" spans="1:12" ht="14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</row>
    <row r="571" spans="1:12" ht="14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</row>
    <row r="572" spans="1:12" ht="14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</row>
    <row r="573" spans="1:12" ht="14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</row>
    <row r="574" spans="1:12" ht="14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</row>
    <row r="575" spans="1:12" ht="14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</row>
    <row r="576" spans="1:12" ht="14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</row>
    <row r="577" spans="1:12" ht="14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</row>
    <row r="578" spans="1:12" ht="14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</row>
    <row r="579" spans="1:12" ht="14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</row>
    <row r="580" spans="1:12" ht="14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</row>
    <row r="581" spans="1:12" ht="14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</row>
    <row r="582" spans="1:12" ht="14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</row>
    <row r="583" spans="1:12" ht="14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</row>
    <row r="584" spans="1:12" ht="14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</row>
    <row r="585" spans="1:12" ht="14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</row>
    <row r="586" spans="1:12" ht="14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</row>
    <row r="587" spans="1:12" ht="14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</row>
    <row r="588" spans="1:12" ht="14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</row>
    <row r="589" spans="1:12" ht="14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</row>
    <row r="590" spans="1:12" ht="14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</row>
    <row r="591" spans="1:12" ht="14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</row>
    <row r="592" spans="1:12" ht="14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</row>
    <row r="593" spans="1:12" ht="14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</row>
    <row r="594" spans="1:12" ht="14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</row>
    <row r="595" spans="1:12" ht="14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</row>
    <row r="596" spans="1:12" ht="14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</row>
    <row r="597" spans="1:12" ht="14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</row>
    <row r="598" spans="1:12" ht="14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</row>
    <row r="599" spans="1:12" ht="14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</row>
    <row r="600" spans="1:12" ht="14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</row>
    <row r="601" spans="1:12" ht="14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</row>
    <row r="602" spans="1:12" ht="14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</row>
    <row r="603" spans="1:12" ht="14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</row>
    <row r="604" spans="1:12" ht="14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</row>
    <row r="605" spans="1:12" ht="14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</row>
    <row r="606" spans="1:12" ht="14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</row>
    <row r="607" spans="1:12" ht="14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</row>
    <row r="608" spans="1:12" ht="14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</row>
    <row r="609" spans="1:12" ht="14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</row>
    <row r="610" spans="1:12" ht="14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</row>
    <row r="611" spans="1:12" ht="14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</row>
    <row r="612" spans="1:12" ht="14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</row>
    <row r="613" spans="1:12" ht="14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</row>
    <row r="614" spans="1:12" ht="14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</row>
    <row r="615" spans="1:12" ht="14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</row>
    <row r="616" spans="1:12" ht="14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</row>
    <row r="617" spans="1:12" ht="14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</row>
    <row r="618" spans="1:12" ht="14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</row>
    <row r="619" spans="1:12" ht="14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</row>
    <row r="620" spans="1:12" ht="14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</row>
    <row r="621" spans="1:12" ht="14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</row>
    <row r="622" spans="1:12" ht="14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</row>
    <row r="623" spans="1:12" ht="14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</row>
    <row r="624" spans="1:12" ht="14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</row>
    <row r="625" spans="1:12" ht="14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</row>
    <row r="626" spans="1:12" ht="14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</row>
    <row r="627" spans="1:12" ht="14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</row>
    <row r="628" spans="1:12" ht="14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</row>
    <row r="629" spans="1:12" ht="14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</row>
    <row r="630" spans="1:12" ht="14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</row>
    <row r="631" spans="1:12" ht="14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</row>
    <row r="632" spans="1:12" ht="14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</row>
    <row r="633" spans="1:12" ht="14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</row>
    <row r="634" spans="1:12" ht="14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</row>
    <row r="635" spans="1:12" ht="14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</row>
    <row r="636" spans="1:12" ht="14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</row>
    <row r="637" spans="1:12" ht="14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</row>
    <row r="638" spans="1:12" ht="14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</row>
    <row r="639" spans="1:12" ht="14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</row>
    <row r="640" spans="1:12" ht="14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</row>
    <row r="641" spans="1:12" ht="14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</row>
    <row r="642" spans="1:12" ht="14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</row>
    <row r="643" spans="1:12" ht="14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</row>
    <row r="644" spans="1:12" ht="14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</row>
    <row r="645" spans="1:12" ht="14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</row>
    <row r="646" spans="1:12" ht="14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</row>
    <row r="647" spans="1:12" ht="14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</row>
    <row r="648" spans="1:12" ht="14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</row>
    <row r="649" spans="1:12" ht="14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</row>
    <row r="650" spans="1:12" ht="14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</row>
    <row r="651" spans="1:12" ht="14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</row>
    <row r="652" spans="1:12" ht="14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</row>
    <row r="653" spans="1:12" ht="14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</row>
    <row r="654" spans="1:12" ht="14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</row>
    <row r="655" spans="1:12" ht="14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</row>
    <row r="656" spans="1:12" ht="14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</row>
    <row r="657" spans="1:12" ht="14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</row>
    <row r="658" spans="1:12" ht="14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</row>
    <row r="659" spans="1:12" ht="14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</row>
    <row r="660" spans="1:12" ht="14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</row>
    <row r="661" spans="1:12" ht="14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</row>
    <row r="662" spans="1:12" ht="14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</row>
    <row r="663" spans="1:12" ht="14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</row>
    <row r="664" spans="1:12" ht="14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</row>
    <row r="665" spans="1:12" ht="14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</row>
    <row r="666" spans="1:12" ht="14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</row>
    <row r="667" spans="1:12" ht="14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</row>
    <row r="668" spans="1:12" ht="14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</row>
    <row r="669" spans="1:12" ht="14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</row>
    <row r="670" spans="1:12" ht="14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</row>
    <row r="671" spans="1:12" ht="14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</row>
    <row r="672" spans="1:12" ht="14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</row>
    <row r="673" spans="1:12" ht="14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</row>
    <row r="674" spans="1:12" ht="14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</row>
    <row r="675" spans="1:12" ht="14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</row>
    <row r="676" spans="1:12" ht="14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</row>
    <row r="677" spans="1:12" ht="14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</row>
    <row r="678" spans="1:12" ht="14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</row>
    <row r="679" spans="1:12" ht="14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</row>
    <row r="680" spans="1:12" ht="14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</row>
    <row r="681" spans="1:12" ht="14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</row>
    <row r="682" spans="1:12" ht="14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</row>
    <row r="683" spans="1:12" ht="14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</row>
    <row r="684" spans="1:12" ht="14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</row>
    <row r="685" spans="1:12" ht="14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</row>
    <row r="686" spans="1:12" ht="14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</row>
    <row r="687" spans="1:12" ht="14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</row>
    <row r="688" spans="1:12" ht="14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</row>
    <row r="689" spans="1:12" ht="14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</row>
    <row r="690" spans="1:12" ht="14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</row>
    <row r="691" spans="1:12" ht="14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</row>
    <row r="692" spans="1:12" ht="14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</row>
    <row r="693" spans="1:12" ht="14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</row>
    <row r="694" spans="1:12" ht="14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</row>
    <row r="695" spans="1:12" ht="14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</row>
    <row r="696" spans="1:12" ht="14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</row>
    <row r="697" spans="1:12" ht="14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</row>
    <row r="698" spans="1:12" ht="14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</row>
    <row r="699" spans="1:12" ht="14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</row>
    <row r="700" spans="1:12" ht="14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</row>
    <row r="701" spans="1:12" ht="14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</row>
    <row r="702" spans="1:12" ht="14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</row>
    <row r="703" spans="1:12" ht="14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</row>
    <row r="704" spans="1:12" ht="14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</row>
    <row r="705" spans="1:12" ht="14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</row>
    <row r="706" spans="1:12" ht="14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</row>
    <row r="707" spans="1:12" ht="14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</row>
    <row r="708" spans="1:12" ht="14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</row>
    <row r="709" spans="1:12" ht="14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</row>
    <row r="710" spans="1:12" ht="14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</row>
    <row r="711" spans="1:12" ht="14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</row>
    <row r="712" spans="1:12" ht="14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</row>
    <row r="713" spans="1:12" ht="14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</row>
    <row r="714" spans="1:12" ht="14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</row>
    <row r="715" spans="1:12" ht="14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</row>
    <row r="716" spans="1:12" ht="14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</row>
    <row r="717" spans="1:12" ht="14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</row>
    <row r="718" spans="1:12" ht="14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</row>
    <row r="719" spans="1:12" ht="14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</row>
    <row r="720" spans="1:12" ht="14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</row>
    <row r="721" spans="1:12" ht="14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</row>
    <row r="722" spans="1:12" ht="14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</row>
    <row r="723" spans="1:12" ht="14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</row>
    <row r="724" spans="1:12" ht="14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</row>
    <row r="725" spans="1:12" ht="14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</row>
    <row r="726" spans="1:12" ht="14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</row>
    <row r="727" spans="1:12" ht="14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</row>
    <row r="728" spans="1:12" ht="14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</row>
    <row r="729" spans="1:12" ht="14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</row>
    <row r="730" spans="1:12" ht="14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</row>
    <row r="731" spans="1:12" ht="14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</row>
    <row r="732" spans="1:12" ht="14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</row>
    <row r="733" spans="1:12" ht="14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</row>
    <row r="734" spans="1:12" ht="14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</row>
    <row r="735" spans="1:12" ht="14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</row>
    <row r="736" spans="1:12" ht="14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</row>
    <row r="737" spans="1:12" ht="14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</row>
    <row r="738" spans="1:12" ht="14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</row>
    <row r="739" spans="1:12" ht="14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</row>
    <row r="740" spans="1:12" ht="14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</row>
    <row r="741" spans="1:12" ht="14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</row>
    <row r="742" spans="1:12" ht="14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</row>
    <row r="743" spans="1:12" ht="14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</row>
    <row r="744" spans="1:12" ht="14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</row>
    <row r="745" spans="1:12" ht="14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</row>
    <row r="746" spans="1:12" ht="14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</row>
    <row r="747" spans="1:12" ht="14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</row>
    <row r="748" spans="1:12" ht="14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</row>
    <row r="749" spans="1:12" ht="14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</row>
    <row r="750" spans="1:12" ht="14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</row>
    <row r="751" spans="1:12" ht="14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</row>
    <row r="752" spans="1:12" ht="14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</row>
    <row r="753" spans="1:12" ht="14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</row>
    <row r="754" spans="1:12" ht="14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</row>
    <row r="755" spans="1:12" ht="14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</row>
    <row r="756" spans="1:12" ht="14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</row>
    <row r="757" spans="1:12" ht="14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</row>
    <row r="758" spans="1:12" ht="14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</row>
    <row r="759" spans="1:12" ht="14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</row>
    <row r="760" spans="1:12" ht="14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</row>
    <row r="761" spans="1:12" ht="14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</row>
    <row r="762" spans="1:12" ht="14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</row>
    <row r="763" spans="1:12" ht="14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</row>
    <row r="764" spans="1:12" ht="14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</row>
    <row r="765" spans="1:12" ht="14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</row>
    <row r="766" spans="1:12" ht="14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</row>
    <row r="767" spans="1:12" ht="14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</row>
    <row r="768" spans="1:12" ht="14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</row>
    <row r="769" spans="1:12" ht="14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</row>
    <row r="770" spans="1:12" ht="14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</row>
    <row r="771" spans="1:12" ht="14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</row>
    <row r="772" spans="1:12" ht="14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</row>
    <row r="773" spans="1:12" ht="14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</row>
    <row r="774" spans="1:12" ht="14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</row>
    <row r="775" spans="1:12" ht="14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</row>
    <row r="776" spans="1:12" ht="14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</row>
    <row r="777" spans="1:12" ht="14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</row>
    <row r="778" spans="1:12" ht="14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</row>
    <row r="779" spans="1:12" ht="14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</row>
    <row r="780" spans="1:12" ht="14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</row>
    <row r="781" spans="1:12" ht="14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</row>
    <row r="782" spans="1:12" ht="14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</row>
    <row r="783" spans="1:12" ht="14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</row>
    <row r="784" spans="1:12" ht="14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</row>
    <row r="785" spans="1:12" ht="14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</row>
    <row r="786" spans="1:12" ht="14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</row>
    <row r="787" spans="1:12" ht="14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</row>
    <row r="788" spans="1:12" ht="14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</row>
    <row r="789" spans="1:12" ht="14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</row>
    <row r="790" spans="1:12" ht="14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</row>
    <row r="791" spans="1:12" ht="14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</row>
    <row r="792" spans="1:12" ht="14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</row>
    <row r="793" spans="1:12" ht="14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</row>
    <row r="794" spans="1:12" ht="14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</row>
    <row r="795" spans="1:12" ht="14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</row>
    <row r="796" spans="1:12" ht="14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</row>
    <row r="797" spans="1:12" ht="14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</row>
    <row r="798" spans="1:12" ht="14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</row>
    <row r="799" spans="1:12" ht="14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</row>
    <row r="800" spans="1:12" ht="14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</row>
    <row r="801" spans="1:12" ht="14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</row>
    <row r="802" spans="1:12" ht="14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</row>
    <row r="803" spans="1:12" ht="14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</row>
    <row r="804" spans="1:12" ht="14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</row>
    <row r="805" spans="1:12" ht="14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</row>
    <row r="806" spans="1:12" ht="14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</row>
    <row r="807" spans="1:12" ht="14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</row>
    <row r="808" spans="1:12" ht="14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</row>
    <row r="809" spans="1:12" ht="14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</row>
    <row r="810" spans="1:12" ht="14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</row>
    <row r="811" spans="1:12" ht="14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</row>
    <row r="812" spans="1:12" ht="14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</row>
    <row r="813" spans="1:12" ht="14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</row>
    <row r="814" spans="1:12" ht="14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</row>
    <row r="815" spans="1:12" ht="14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</row>
    <row r="816" spans="1:12" ht="14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</row>
    <row r="817" spans="1:12" ht="14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</row>
    <row r="818" spans="1:12" ht="14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</row>
    <row r="819" spans="1:12" ht="14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</row>
    <row r="820" spans="1:12" ht="14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</row>
    <row r="821" spans="1:12" ht="14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</row>
    <row r="822" spans="1:12" ht="14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</row>
    <row r="823" spans="1:12" ht="14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</row>
    <row r="824" spans="1:12" ht="14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</row>
    <row r="825" spans="1:12" ht="14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</row>
    <row r="826" spans="1:12" ht="14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</row>
    <row r="827" spans="1:12" ht="14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</row>
    <row r="828" spans="1:12" ht="14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</row>
    <row r="829" spans="1:12" ht="14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</row>
    <row r="830" spans="1:12" ht="14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</row>
    <row r="831" spans="1:12" ht="14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</row>
    <row r="832" spans="1:12" ht="14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</row>
    <row r="833" spans="1:12" ht="14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</row>
    <row r="834" spans="1:12" ht="14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</row>
    <row r="835" spans="1:12" ht="14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</row>
    <row r="836" spans="1:12" ht="14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</row>
    <row r="837" spans="1:12" ht="14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</row>
    <row r="838" spans="1:12" ht="14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</row>
    <row r="839" spans="1:12" ht="14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</row>
    <row r="840" spans="1:12" ht="14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</row>
    <row r="841" spans="1:12" ht="14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</row>
    <row r="842" spans="1:12" ht="14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</row>
    <row r="843" spans="1:12" ht="14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</row>
    <row r="844" spans="1:12" ht="14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</row>
    <row r="845" spans="1:12" ht="14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</row>
    <row r="846" spans="1:12" ht="14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</row>
    <row r="847" spans="1:12" ht="14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</row>
    <row r="848" spans="1:12" ht="14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</row>
    <row r="849" spans="1:12" ht="14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</row>
    <row r="850" spans="1:12" ht="14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</row>
    <row r="851" spans="1:12" ht="14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</row>
    <row r="852" spans="1:12" ht="14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</row>
    <row r="853" spans="1:12" ht="14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</row>
    <row r="854" spans="1:12" ht="14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</row>
    <row r="855" spans="1:12" ht="14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</row>
    <row r="856" spans="1:12" ht="14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</row>
    <row r="857" spans="1:12" ht="14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</row>
    <row r="858" spans="1:12" ht="14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</row>
    <row r="859" spans="1:12" ht="14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</row>
    <row r="860" spans="1:12" ht="14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</row>
    <row r="861" spans="1:12" ht="14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</row>
    <row r="862" spans="1:12" ht="14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</row>
    <row r="863" spans="1:12" ht="14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</row>
    <row r="864" spans="1:12" ht="14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</row>
    <row r="865" spans="1:12" ht="14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</row>
    <row r="866" spans="1:12" ht="14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</row>
    <row r="867" spans="1:12" ht="14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</row>
    <row r="868" spans="1:12" ht="14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</row>
    <row r="869" spans="1:12" ht="14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</row>
    <row r="870" spans="1:12" ht="14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</row>
    <row r="871" spans="1:12" ht="14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</row>
    <row r="872" spans="1:12" ht="14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</row>
    <row r="873" spans="1:12" ht="14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</row>
    <row r="874" spans="1:12" ht="14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</row>
    <row r="875" spans="1:12" ht="14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</row>
    <row r="876" spans="1:12" ht="14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</row>
    <row r="877" spans="1:12" ht="14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</row>
    <row r="878" spans="1:12" ht="14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</row>
    <row r="879" spans="1:12" ht="14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</row>
    <row r="880" spans="1:12" ht="14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</row>
    <row r="881" spans="1:12" ht="14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</row>
    <row r="882" spans="1:12" ht="14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</row>
    <row r="883" spans="1:12" ht="14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</row>
    <row r="884" spans="1:12" ht="14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</row>
    <row r="885" spans="1:12" ht="14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</row>
    <row r="886" spans="1:12" ht="14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</row>
    <row r="887" spans="1:12" ht="14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</row>
    <row r="888" spans="1:12" ht="14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</row>
    <row r="889" spans="1:12" ht="14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</row>
    <row r="890" spans="1:12" ht="14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</row>
    <row r="891" spans="1:12" ht="14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</row>
    <row r="892" spans="1:12" ht="14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</row>
    <row r="893" spans="1:12" ht="14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</row>
    <row r="894" spans="1:12" ht="14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</row>
    <row r="895" spans="1:12" ht="14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</row>
    <row r="896" spans="1:12" ht="14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</row>
    <row r="897" spans="1:12" ht="14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</row>
    <row r="898" spans="1:12" ht="14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</row>
    <row r="899" spans="1:12" ht="14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</row>
    <row r="900" spans="1:12" ht="14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</row>
    <row r="901" spans="1:12" ht="14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</row>
    <row r="902" spans="1:12" ht="14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</row>
    <row r="903" spans="1:12" ht="14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</row>
    <row r="904" spans="1:12" ht="14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</row>
    <row r="905" spans="1:12" ht="14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</row>
    <row r="906" spans="1:12" ht="14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</row>
    <row r="907" spans="1:12" ht="14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</row>
    <row r="908" spans="1:12" ht="14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</row>
    <row r="909" spans="1:12" ht="14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</row>
    <row r="910" spans="1:12" ht="14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</row>
    <row r="911" spans="1:12" ht="14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</row>
    <row r="912" spans="1:12" ht="14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</row>
    <row r="913" spans="1:12" ht="14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</row>
    <row r="914" spans="1:12" ht="14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</row>
    <row r="915" spans="1:12" ht="14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</row>
    <row r="916" spans="1:12" ht="14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</row>
    <row r="917" spans="1:12" ht="14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</row>
    <row r="918" spans="1:12" ht="14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</row>
    <row r="919" spans="1:12" ht="14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</row>
    <row r="920" spans="1:12" ht="14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</row>
    <row r="921" spans="1:12" ht="14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</row>
    <row r="922" spans="1:12" ht="14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</row>
    <row r="923" spans="1:12" ht="14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</row>
    <row r="924" spans="1:12" ht="14" x14ac:dyDescent="0.3"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</row>
  </sheetData>
  <sortState xmlns:xlrd2="http://schemas.microsoft.com/office/spreadsheetml/2017/richdata2" ref="A2:M8">
    <sortCondition ref="K2:K8"/>
  </sortState>
  <printOptions horizontalCentered="1" gridLines="1"/>
  <pageMargins left="0.7" right="0.7" top="1.1437499999999998" bottom="1.1437499999999998" header="0.75" footer="0.75"/>
  <pageSetup paperSize="0" fitToWidth="0" fitToHeight="0" pageOrder="overThenDown" orientation="landscape" horizontalDpi="0" verticalDpi="0" copies="0"/>
  <headerFooter alignWithMargins="0"/>
  <ignoredErrors>
    <ignoredError sqref="J2:J5 J6:J28 C3 C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'Scoring tables'!$A$2:$A$57</xm:f>
          </x14:formula1>
          <xm:sqref>L1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workbookViewId="0">
      <selection activeCell="G19" sqref="G19"/>
    </sheetView>
  </sheetViews>
  <sheetFormatPr defaultRowHeight="15.75" customHeight="1" x14ac:dyDescent="0.35"/>
  <cols>
    <col min="1" max="1" width="10.4140625" style="25" customWidth="1"/>
    <col min="2" max="2" width="23.58203125" style="25" customWidth="1"/>
    <col min="3" max="3" width="22.4140625" style="25" customWidth="1"/>
    <col min="4" max="11" width="8.4140625" style="25" customWidth="1"/>
    <col min="12" max="1024" width="11.6640625" style="25" customWidth="1"/>
    <col min="1025" max="16384" width="8.6640625" style="25"/>
  </cols>
  <sheetData>
    <row r="1" spans="1:14" ht="30.75" customHeight="1" x14ac:dyDescent="0.35">
      <c r="A1" s="20" t="s">
        <v>0</v>
      </c>
      <c r="B1" s="20" t="s">
        <v>26</v>
      </c>
      <c r="C1" s="20" t="s">
        <v>27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8</v>
      </c>
    </row>
    <row r="2" spans="1:14" ht="14.5" x14ac:dyDescent="0.35">
      <c r="A2" s="16">
        <f ca="1">IFERROR(__xludf.dummyfunction("""COMPUTED_VALUE"""),27)</f>
        <v>27</v>
      </c>
      <c r="B2" s="5" t="str">
        <f ca="1">IFERROR(__xludf.dummyfunction("""COMPUTED_VALUE"""),"Cora Alton")</f>
        <v>Cora Alton</v>
      </c>
      <c r="C2" s="5" t="str">
        <f ca="1">IFERROR(__xludf.dummyfunction("""COMPUTED_VALUE"""),"St Pius X Preparatory School")</f>
        <v>St Pius X Preparatory School</v>
      </c>
      <c r="D2" s="16" t="s">
        <v>193</v>
      </c>
      <c r="E2" s="22">
        <f ca="1">IFERROR(__xludf.dummyfunction("iferror(1000+INT(($N$2-(index(split(D3,"":""),1)*60+index(split(D3,"":""),2 )))/0.2+1)*$N$3,"""")"),1018)</f>
        <v>1018</v>
      </c>
      <c r="F2" s="16">
        <f ca="1">IFERROR(_xlfn.RANK.EQ(E2,E:E),"")</f>
        <v>4</v>
      </c>
      <c r="G2" s="16" t="s">
        <v>194</v>
      </c>
      <c r="H2" s="22">
        <f ca="1">IFERROR(__xludf.dummyfunction("iferror(1000+INT(($N$4-(index(split(G3,"":""),1)*60+index(split(G3,"":""),2 )))/0.2+1)*$N$5,"""")"),1237)</f>
        <v>1237</v>
      </c>
      <c r="I2" s="16">
        <f ca="1">IFERROR(_xlfn.RANK.EQ(H2,H:H),"")</f>
        <v>1</v>
      </c>
      <c r="J2" s="22">
        <f ca="1">IF(AND(D2="", G2=""), "", E2+H2)</f>
        <v>2255</v>
      </c>
      <c r="K2" s="16">
        <f ca="1">IFERROR(_xlfn.RANK.EQ(J2,J:J),"")</f>
        <v>1</v>
      </c>
      <c r="L2" s="16"/>
      <c r="M2" s="21" t="s">
        <v>38</v>
      </c>
      <c r="N2" s="26">
        <f>VLOOKUP($L$1,'Scoring tables'!$A$2:$K$57,10,0)</f>
        <v>42</v>
      </c>
    </row>
    <row r="3" spans="1:14" ht="14.5" x14ac:dyDescent="0.35">
      <c r="A3" s="16">
        <f ca="1">IFERROR(__xludf.dummyfunction("""COMPUTED_VALUE"""),34)</f>
        <v>34</v>
      </c>
      <c r="B3" s="5" t="str">
        <f ca="1">IFERROR(__xludf.dummyfunction("""COMPUTED_VALUE"""),"Isabella Talbot")</f>
        <v>Isabella Talbot</v>
      </c>
      <c r="C3" s="5" t="str">
        <f ca="1">IFERROR(__xludf.dummyfunction("""COMPUTED_VALUE"""),"The King's School in Macclesfield")</f>
        <v>The King's School in Macclesfield</v>
      </c>
      <c r="D3" s="16" t="s">
        <v>205</v>
      </c>
      <c r="E3" s="22">
        <f ca="1">IFERROR(__xludf.dummyfunction("iferror(1000+INT(($N$2-(index(split(D10,"":""),1)*60+index(split(D10,"":""),2 )))/0.2+1)*$N$3,"""")"),1150)</f>
        <v>1150</v>
      </c>
      <c r="F3" s="16">
        <f ca="1">IFERROR(_xlfn.RANK.EQ(E3,E:E),"")</f>
        <v>1</v>
      </c>
      <c r="G3" s="16" t="s">
        <v>206</v>
      </c>
      <c r="H3" s="22">
        <f ca="1">IFERROR(__xludf.dummyfunction("iferror(1000+INT(($N$4-(index(split(G10,"":""),1)*60+index(split(G10,"":""),2 )))/0.2+1)*$N$5,"""")"),1054)</f>
        <v>1054</v>
      </c>
      <c r="I3" s="16">
        <f ca="1">IFERROR(_xlfn.RANK.EQ(H3,H:H),"")</f>
        <v>2</v>
      </c>
      <c r="J3" s="22">
        <f t="shared" ref="J3:J30" ca="1" si="0">IF(AND(D3="", G3=""), "", E3+H3)</f>
        <v>2204</v>
      </c>
      <c r="K3" s="16">
        <f ca="1">IFERROR(_xlfn.RANK.EQ(J3,J:J),"")</f>
        <v>2</v>
      </c>
      <c r="L3" s="16"/>
      <c r="M3" s="21" t="s">
        <v>39</v>
      </c>
      <c r="N3" s="26">
        <f>VLOOKUP($L$1,'Scoring tables'!$A$2:$K$57,11,0)</f>
        <v>6</v>
      </c>
    </row>
    <row r="4" spans="1:14" ht="14.5" x14ac:dyDescent="0.35">
      <c r="A4" s="16">
        <f ca="1">IFERROR(__xludf.dummyfunction("""COMPUTED_VALUE"""),29)</f>
        <v>29</v>
      </c>
      <c r="B4" s="5" t="str">
        <f ca="1">IFERROR(__xludf.dummyfunction("""COMPUTED_VALUE"""),"Iris Thomson")</f>
        <v>Iris Thomson</v>
      </c>
      <c r="C4" s="5" t="str">
        <f ca="1">IFERROR(__xludf.dummyfunction("""COMPUTED_VALUE"""),"Euxton CE Primary School")</f>
        <v>Euxton CE Primary School</v>
      </c>
      <c r="D4" s="16" t="s">
        <v>197</v>
      </c>
      <c r="E4" s="22">
        <f ca="1">IFERROR(__xludf.dummyfunction("iferror(1000+INT(($N$2-(index(split(D5,"":""),1)*60+index(split(D5,"":""),2 )))/0.2+1)*$N$3,"""")"),916)</f>
        <v>916</v>
      </c>
      <c r="F4" s="16">
        <f ca="1">IFERROR(_xlfn.RANK.EQ(E4,E:E),"")</f>
        <v>5</v>
      </c>
      <c r="G4" s="16" t="s">
        <v>198</v>
      </c>
      <c r="H4" s="22">
        <f ca="1">IFERROR(__xludf.dummyfunction("iferror(1000+INT(($N$4-(index(split(G5,"":""),1)*60+index(split(G5,"":""),2 )))/0.2+1)*$N$5,"""")"),1027)</f>
        <v>1027</v>
      </c>
      <c r="I4" s="16">
        <f ca="1">IFERROR(_xlfn.RANK.EQ(H4,H:H),"")</f>
        <v>3</v>
      </c>
      <c r="J4" s="22">
        <f t="shared" ca="1" si="0"/>
        <v>1943</v>
      </c>
      <c r="K4" s="16">
        <f ca="1">IFERROR(_xlfn.RANK.EQ(J4,J:J),"")</f>
        <v>3</v>
      </c>
      <c r="L4" s="16"/>
      <c r="M4" s="21" t="s">
        <v>31</v>
      </c>
      <c r="N4" s="26">
        <f>VLOOKUP($L$1,'Scoring tables'!$A$2:$K$57,5,0)</f>
        <v>195</v>
      </c>
    </row>
    <row r="5" spans="1:14" ht="14.5" x14ac:dyDescent="0.35">
      <c r="A5" s="16">
        <f ca="1">IFERROR(__xludf.dummyfunction("""COMPUTED_VALUE"""),33)</f>
        <v>33</v>
      </c>
      <c r="B5" s="5" t="str">
        <f ca="1">IFERROR(__xludf.dummyfunction("""COMPUTED_VALUE"""),"Sienna Bousfield - Evans")</f>
        <v>Sienna Bousfield - Evans</v>
      </c>
      <c r="C5" s="5" t="str">
        <f ca="1">IFERROR(__xludf.dummyfunction("""COMPUTED_VALUE"""),"Giggleswick Primary School")</f>
        <v>Giggleswick Primary School</v>
      </c>
      <c r="D5" s="16" t="s">
        <v>203</v>
      </c>
      <c r="E5" s="22">
        <f ca="1">IFERROR(__xludf.dummyfunction("iferror(1000+INT(($N$2-(index(split(D9,"":""),1)*60+index(split(D9,"":""),2 )))/0.2+1)*$N$3,"""")"),1030)</f>
        <v>1030</v>
      </c>
      <c r="F5" s="16">
        <f ca="1">IFERROR(_xlfn.RANK.EQ(E5,E:E),"")</f>
        <v>3</v>
      </c>
      <c r="G5" s="16" t="s">
        <v>204</v>
      </c>
      <c r="H5" s="22">
        <f ca="1">IFERROR(__xludf.dummyfunction("iferror(1000+INT(($N$4-(index(split(G9,"":""),1)*60+index(split(G9,"":""),2 )))/0.2+1)*$N$5,"""")"),901)</f>
        <v>901</v>
      </c>
      <c r="I5" s="16">
        <f ca="1">IFERROR(_xlfn.RANK.EQ(H5,H:H),"")</f>
        <v>5</v>
      </c>
      <c r="J5" s="22">
        <f t="shared" ca="1" si="0"/>
        <v>1931</v>
      </c>
      <c r="K5" s="16">
        <f ca="1">IFERROR(_xlfn.RANK.EQ(J5,J:J),"")</f>
        <v>4</v>
      </c>
      <c r="L5" s="16"/>
      <c r="M5" s="21" t="s">
        <v>32</v>
      </c>
      <c r="N5" s="26">
        <f>VLOOKUP($L$1,'Scoring tables'!$A$2:$K$57,6,0)</f>
        <v>3</v>
      </c>
    </row>
    <row r="6" spans="1:14" ht="14.5" x14ac:dyDescent="0.35">
      <c r="A6" s="16">
        <f ca="1">IFERROR(__xludf.dummyfunction("""COMPUTED_VALUE"""),37)</f>
        <v>37</v>
      </c>
      <c r="B6" s="5" t="str">
        <f ca="1">IFERROR(__xludf.dummyfunction("""COMPUTED_VALUE"""),"Holly Gilman")</f>
        <v>Holly Gilman</v>
      </c>
      <c r="C6" s="5" t="str">
        <f ca="1">IFERROR(__xludf.dummyfunction("""COMPUTED_VALUE"""),"Aspull Church Primary School")</f>
        <v>Aspull Church Primary School</v>
      </c>
      <c r="D6" s="16" t="s">
        <v>211</v>
      </c>
      <c r="E6" s="22">
        <f ca="1">IFERROR(__xludf.dummyfunction("iferror(1000+INT(($N$2-(index(split(D13,"":""),1)*60+index(split(D13,"":""),2 )))/0.2+1)*$N$3,"""")"),1054)</f>
        <v>1054</v>
      </c>
      <c r="F6" s="16">
        <f ca="1">IFERROR(_xlfn.RANK.EQ(E6,E:E),"")</f>
        <v>2</v>
      </c>
      <c r="G6" s="16" t="s">
        <v>212</v>
      </c>
      <c r="H6" s="22">
        <f ca="1">IFERROR(__xludf.dummyfunction("iferror(1000+INT(($N$4-(index(split(G13,"":""),1)*60+index(split(G13,"":""),2 )))/0.2+1)*$N$5,"""")"),748)</f>
        <v>748</v>
      </c>
      <c r="I6" s="16">
        <f ca="1">IFERROR(_xlfn.RANK.EQ(H6,H:H),"")</f>
        <v>7</v>
      </c>
      <c r="J6" s="22">
        <f t="shared" ca="1" si="0"/>
        <v>1802</v>
      </c>
      <c r="K6" s="16">
        <f ca="1">IFERROR(_xlfn.RANK.EQ(J6,J:J),"")</f>
        <v>5</v>
      </c>
      <c r="L6" s="16"/>
    </row>
    <row r="7" spans="1:14" ht="14.5" x14ac:dyDescent="0.35">
      <c r="A7" s="16">
        <f ca="1">IFERROR(__xludf.dummyfunction("""COMPUTED_VALUE"""),38)</f>
        <v>38</v>
      </c>
      <c r="B7" s="5" t="str">
        <f ca="1">IFERROR(__xludf.dummyfunction("""COMPUTED_VALUE"""),"Milly Airey")</f>
        <v>Milly Airey</v>
      </c>
      <c r="C7" s="5" t="str">
        <f ca="1">IFERROR(__xludf.dummyfunction("""COMPUTED_VALUE"""),"Birkenhead High School Academy")</f>
        <v>Birkenhead High School Academy</v>
      </c>
      <c r="D7" s="16" t="s">
        <v>213</v>
      </c>
      <c r="E7" s="22">
        <f ca="1">IFERROR(__xludf.dummyfunction("iferror(1000+INT(($N$2-(index(split(D14,"":""),1)*60+index(split(D14,"":""),2 )))/0.2+1)*$N$3,"""")"),766)</f>
        <v>766</v>
      </c>
      <c r="F7" s="16">
        <f ca="1">IFERROR(_xlfn.RANK.EQ(E7,E:E),"")</f>
        <v>9</v>
      </c>
      <c r="G7" s="16" t="s">
        <v>214</v>
      </c>
      <c r="H7" s="22">
        <f ca="1">IFERROR(__xludf.dummyfunction("iferror(1000+INT(($N$4-(index(split(G14,"":""),1)*60+index(split(G14,"":""),2 )))/0.2+1)*$N$5,"""")"),877)</f>
        <v>877</v>
      </c>
      <c r="I7" s="16">
        <f ca="1">IFERROR(_xlfn.RANK.EQ(H7,H:H),"")</f>
        <v>6</v>
      </c>
      <c r="J7" s="22">
        <f t="shared" ca="1" si="0"/>
        <v>1643</v>
      </c>
      <c r="K7" s="16">
        <f ca="1">IFERROR(_xlfn.RANK.EQ(J7,J:J),"")</f>
        <v>6</v>
      </c>
      <c r="L7" s="16"/>
    </row>
    <row r="8" spans="1:14" ht="14.5" x14ac:dyDescent="0.35">
      <c r="A8" s="16">
        <f ca="1">IFERROR(__xludf.dummyfunction("""COMPUTED_VALUE"""),32)</f>
        <v>32</v>
      </c>
      <c r="B8" s="5" t="str">
        <f ca="1">IFERROR(__xludf.dummyfunction("""COMPUTED_VALUE"""),"Olivia Trotter")</f>
        <v>Olivia Trotter</v>
      </c>
      <c r="C8" s="5" t="str">
        <f ca="1">IFERROR(__xludf.dummyfunction("""COMPUTED_VALUE"""),"Austin Friars St Monicas School")</f>
        <v>Austin Friars St Monicas School</v>
      </c>
      <c r="D8" s="23" t="s">
        <v>201</v>
      </c>
      <c r="E8" s="22">
        <f ca="1">IFERROR(__xludf.dummyfunction("iferror(1000+INT(($N$2-(index(split(D8,"":""),1)*60+index(split(D8,"":""),2 )))/0.2+1)*$N$3,"""")"),688)</f>
        <v>688</v>
      </c>
      <c r="F8" s="16">
        <f ca="1">IFERROR(_xlfn.RANK.EQ(E8,E:E),"")</f>
        <v>10</v>
      </c>
      <c r="G8" s="16" t="s">
        <v>202</v>
      </c>
      <c r="H8" s="22">
        <f ca="1">IFERROR(__xludf.dummyfunction("iferror(1000+INT(($N$4-(index(split(G8,"":""),1)*60+index(split(G8,"":""),2 )))/0.2+1)*$N$5,"""")"),937)</f>
        <v>937</v>
      </c>
      <c r="I8" s="16">
        <f ca="1">IFERROR(_xlfn.RANK.EQ(H8,H:H),"")</f>
        <v>4</v>
      </c>
      <c r="J8" s="22">
        <f t="shared" ca="1" si="0"/>
        <v>1625</v>
      </c>
      <c r="K8" s="16">
        <f ca="1">IFERROR(_xlfn.RANK.EQ(J8,J:J),"")</f>
        <v>7</v>
      </c>
      <c r="L8" s="16"/>
    </row>
    <row r="9" spans="1:14" ht="14.5" x14ac:dyDescent="0.35">
      <c r="A9" s="16">
        <f ca="1">IFERROR(__xludf.dummyfunction("""COMPUTED_VALUE"""),28)</f>
        <v>28</v>
      </c>
      <c r="B9" s="5" t="str">
        <f ca="1">IFERROR(__xludf.dummyfunction("""COMPUTED_VALUE"""),"Thea Murch")</f>
        <v>Thea Murch</v>
      </c>
      <c r="C9" s="5" t="str">
        <f ca="1">IFERROR(__xludf.dummyfunction("""COMPUTED_VALUE"""),"St Pius X Preparatory School")</f>
        <v>St Pius X Preparatory School</v>
      </c>
      <c r="D9" s="16" t="s">
        <v>195</v>
      </c>
      <c r="E9" s="22">
        <f ca="1">IFERROR(__xludf.dummyfunction("iferror(1000+INT(($N$2-(index(split(D4,"":""),1)*60+index(split(D4,"":""),2 )))/0.2+1)*$N$3,"""")"),772)</f>
        <v>772</v>
      </c>
      <c r="F9" s="16">
        <f ca="1">IFERROR(_xlfn.RANK.EQ(E9,E:E),"")</f>
        <v>8</v>
      </c>
      <c r="G9" s="16" t="s">
        <v>196</v>
      </c>
      <c r="H9" s="22">
        <f ca="1">IFERROR(__xludf.dummyfunction("iferror(1000+INT(($N$4-(index(split(G4,"":""),1)*60+index(split(G4,"":""),2 )))/0.2+1)*$N$5,"""")"),496)</f>
        <v>496</v>
      </c>
      <c r="I9" s="16">
        <f ca="1">IFERROR(_xlfn.RANK.EQ(H9,H:H),"")</f>
        <v>8</v>
      </c>
      <c r="J9" s="22">
        <f t="shared" ca="1" si="0"/>
        <v>1268</v>
      </c>
      <c r="K9" s="16">
        <f ca="1">IFERROR(_xlfn.RANK.EQ(J9,J:J),"")</f>
        <v>8</v>
      </c>
      <c r="L9" s="16"/>
    </row>
    <row r="10" spans="1:14" ht="14.5" x14ac:dyDescent="0.35">
      <c r="A10" s="16">
        <f ca="1">IFERROR(__xludf.dummyfunction("Query(Entries!$A$2:$U$1205,""select A,C,D where B = '""&amp;L1&amp;""'"")"),26)</f>
        <v>26</v>
      </c>
      <c r="B10" s="5" t="str">
        <f ca="1">IFERROR(__xludf.dummyfunction("""COMPUTED_VALUE"""),"Lucy Wilcox")</f>
        <v>Lucy Wilcox</v>
      </c>
      <c r="C10" s="5" t="str">
        <f ca="1">IFERROR(__xludf.dummyfunction("""COMPUTED_VALUE"""),"St Wilfrids CE Primary School")</f>
        <v>St Wilfrids CE Primary School</v>
      </c>
      <c r="D10" s="16" t="s">
        <v>191</v>
      </c>
      <c r="E10" s="22">
        <f ca="1">IFERROR(__xludf.dummyfunction("iferror(1000+INT(($N$2-(index(split(D2,"":""),1)*60+index(split(D2,"":""),2 )))/0.2+1)*$N$3,"""")"),850)</f>
        <v>850</v>
      </c>
      <c r="F10" s="16">
        <f ca="1">IFERROR(_xlfn.RANK.EQ(E10,E:E),"")</f>
        <v>6</v>
      </c>
      <c r="G10" s="22" t="s">
        <v>192</v>
      </c>
      <c r="H10" s="22">
        <f ca="1">IFERROR(__xludf.dummyfunction("iferror(1000+INT(($N$4-(index(split(G2,"":""),1)*60+index(split(G2,"":""),2 )))/0.2+1)*$N$5,"""")"),409)</f>
        <v>409</v>
      </c>
      <c r="I10" s="16">
        <f ca="1">IFERROR(_xlfn.RANK.EQ(H10,H:H),"")</f>
        <v>10</v>
      </c>
      <c r="J10" s="22">
        <f t="shared" ca="1" si="0"/>
        <v>1259</v>
      </c>
      <c r="K10" s="16">
        <f ca="1">IFERROR(_xlfn.RANK.EQ(J10,J:J),"")</f>
        <v>9</v>
      </c>
      <c r="L10" s="16"/>
    </row>
    <row r="11" spans="1:14" ht="14.5" x14ac:dyDescent="0.35">
      <c r="A11" s="16">
        <f ca="1">IFERROR(__xludf.dummyfunction("""COMPUTED_VALUE"""),30)</f>
        <v>30</v>
      </c>
      <c r="B11" s="5" t="str">
        <f ca="1">IFERROR(__xludf.dummyfunction("""COMPUTED_VALUE"""),"Franchesca Sayer")</f>
        <v>Franchesca Sayer</v>
      </c>
      <c r="C11" s="5" t="str">
        <f ca="1">IFERROR(__xludf.dummyfunction("""COMPUTED_VALUE"""),"Grosvenor Park Primary School")</f>
        <v>Grosvenor Park Primary School</v>
      </c>
      <c r="D11" s="16" t="s">
        <v>199</v>
      </c>
      <c r="E11" s="22">
        <f ca="1">IFERROR(__xludf.dummyfunction("iferror(1000+INT(($N$2-(index(split(D6,"":""),1)*60+index(split(D6,"":""),2 )))/0.2+1)*$N$3,"""")"),556)</f>
        <v>556</v>
      </c>
      <c r="F11" s="16">
        <f ca="1">IFERROR(_xlfn.RANK.EQ(E11,E:E),"")</f>
        <v>11</v>
      </c>
      <c r="G11" s="16" t="s">
        <v>200</v>
      </c>
      <c r="H11" s="22">
        <f ca="1">IFERROR(__xludf.dummyfunction("iferror(1000+INT(($N$4-(index(split(G6,"":""),1)*60+index(split(G6,"":""),2 )))/0.2+1)*$N$5,"""")"),448)</f>
        <v>448</v>
      </c>
      <c r="I11" s="16">
        <f ca="1">IFERROR(_xlfn.RANK.EQ(H11,H:H),"")</f>
        <v>9</v>
      </c>
      <c r="J11" s="22">
        <f t="shared" ca="1" si="0"/>
        <v>1004</v>
      </c>
      <c r="K11" s="16">
        <f ca="1">IFERROR(_xlfn.RANK.EQ(J11,J:J),"")</f>
        <v>10</v>
      </c>
      <c r="L11" s="16"/>
    </row>
    <row r="12" spans="1:14" ht="14.5" x14ac:dyDescent="0.35">
      <c r="A12" s="16">
        <f ca="1">IFERROR(__xludf.dummyfunction("""COMPUTED_VALUE"""),35)</f>
        <v>35</v>
      </c>
      <c r="B12" s="5" t="str">
        <f ca="1">IFERROR(__xludf.dummyfunction("""COMPUTED_VALUE"""),"Alicia Bateson")</f>
        <v>Alicia Bateson</v>
      </c>
      <c r="C12" s="5"/>
      <c r="D12" s="16" t="s">
        <v>207</v>
      </c>
      <c r="E12" s="22">
        <f ca="1">IFERROR(__xludf.dummyfunction("iferror(1000+INT(($N$2-(index(split(D11,"":""),1)*60+index(split(D11,"":""),2 )))/0.2+1)*$N$3,"""")"),778)</f>
        <v>778</v>
      </c>
      <c r="F12" s="16">
        <f ca="1">IFERROR(_xlfn.RANK.EQ(E12,E:E),"")</f>
        <v>7</v>
      </c>
      <c r="G12" s="16" t="s">
        <v>208</v>
      </c>
      <c r="H12" s="22">
        <f ca="1">IFERROR(__xludf.dummyfunction("iferror(1000+INT(($N$4-(index(split(G11,"":""),1)*60+index(split(G11,"":""),2 )))/0.2+1)*$N$5,"""")"),-71)</f>
        <v>-71</v>
      </c>
      <c r="I12" s="16">
        <f ca="1">IFERROR(_xlfn.RANK.EQ(H12,H:H),"")</f>
        <v>12</v>
      </c>
      <c r="J12" s="22">
        <f t="shared" ca="1" si="0"/>
        <v>707</v>
      </c>
      <c r="K12" s="16">
        <f ca="1">IFERROR(_xlfn.RANK.EQ(J12,J:J),"")</f>
        <v>11</v>
      </c>
      <c r="L12" s="16"/>
    </row>
    <row r="13" spans="1:14" ht="14.5" x14ac:dyDescent="0.35">
      <c r="A13" s="16">
        <f ca="1">IFERROR(__xludf.dummyfunction("""COMPUTED_VALUE"""),36)</f>
        <v>36</v>
      </c>
      <c r="B13" s="5" t="str">
        <f ca="1">IFERROR(__xludf.dummyfunction("""COMPUTED_VALUE"""),"aliya ahmed")</f>
        <v>aliya ahmed</v>
      </c>
      <c r="C13" s="5" t="str">
        <f ca="1">IFERROR(__xludf.dummyfunction("""COMPUTED_VALUE"""),"St Pius X Preparatory School")</f>
        <v>St Pius X Preparatory School</v>
      </c>
      <c r="D13" s="16" t="s">
        <v>209</v>
      </c>
      <c r="E13" s="22">
        <f ca="1">IFERROR(__xludf.dummyfunction("iferror(1000+INT(($N$2-(index(split(D12,"":""),1)*60+index(split(D12,"":""),2 )))/0.2+1)*$N$3,"""")"),-2)</f>
        <v>-2</v>
      </c>
      <c r="F13" s="16">
        <f ca="1">IFERROR(_xlfn.RANK.EQ(E13,E:E),"")</f>
        <v>13</v>
      </c>
      <c r="G13" s="16" t="s">
        <v>210</v>
      </c>
      <c r="H13" s="22">
        <f ca="1">IFERROR(__xludf.dummyfunction("iferror(1000+INT(($N$4-(index(split(G12,"":""),1)*60+index(split(G12,"":""),2 )))/0.2+1)*$N$5,"""")"),94)</f>
        <v>94</v>
      </c>
      <c r="I13" s="16">
        <f ca="1">IFERROR(_xlfn.RANK.EQ(H13,H:H),"")</f>
        <v>11</v>
      </c>
      <c r="J13" s="22">
        <f t="shared" ca="1" si="0"/>
        <v>92</v>
      </c>
      <c r="K13" s="16">
        <f ca="1">IFERROR(_xlfn.RANK.EQ(J13,J:J),"")</f>
        <v>12</v>
      </c>
      <c r="L13" s="16"/>
    </row>
    <row r="14" spans="1:14" ht="14.5" x14ac:dyDescent="0.35">
      <c r="A14" s="28">
        <f ca="1">IFERROR(__xludf.dummyfunction("""COMPUTED_VALUE"""),31)</f>
        <v>31</v>
      </c>
      <c r="B14" s="29" t="str">
        <f ca="1">IFERROR(__xludf.dummyfunction("""COMPUTED_VALUE"""),"Alexia Davison-Cronin")</f>
        <v>Alexia Davison-Cronin</v>
      </c>
      <c r="C14" s="29" t="str">
        <f ca="1">IFERROR(__xludf.dummyfunction("""COMPUTED_VALUE"""),"St Thomas CE Primary School (Barrowford)")</f>
        <v>St Thomas CE Primary School (Barrowford)</v>
      </c>
      <c r="D14" s="28" t="s">
        <v>147</v>
      </c>
      <c r="E14" s="30">
        <f ca="1">IFERROR(__xludf.dummyfunction("iferror(1000+INT(($N$2-(index(split(D7,"":""),1)*60+index(split(D7,"":""),2 )))/0.2+1)*$N$3,"""")"),238)</f>
        <v>238</v>
      </c>
      <c r="F14" s="28">
        <f ca="1">IFERROR(_xlfn.RANK.EQ(E14,E:E),"")</f>
        <v>12</v>
      </c>
      <c r="G14" s="28"/>
      <c r="H14" s="30" t="str">
        <f ca="1">IFERROR(__xludf.dummyfunction("iferror(1000+INT(($N$4-(index(split(G7,"":""),1)*60+index(split(G7,"":""),2 )))/0.2+1)*$N$5,"""")"),"")</f>
        <v/>
      </c>
      <c r="I14" s="28" t="str">
        <f ca="1">IFERROR(_xlfn.RANK.EQ(H14,H:H),"")</f>
        <v/>
      </c>
      <c r="J14" s="30"/>
      <c r="K14" s="28" t="s">
        <v>444</v>
      </c>
      <c r="L14" s="16"/>
    </row>
    <row r="15" spans="1:14" ht="14.5" x14ac:dyDescent="0.35">
      <c r="A15" s="16"/>
      <c r="B15" s="16"/>
      <c r="C15" s="16"/>
      <c r="D15" s="16"/>
      <c r="E15" s="22" t="str">
        <f ca="1">IFERROR(__xludf.dummyfunction("iferror(1000+INT(($N$2-(index(split(D15,"":""),1)*60+index(split(D15,"":""),2 )))/0.2+1)*$N$3,"""")"),"")</f>
        <v/>
      </c>
      <c r="F15" s="16" t="str">
        <f t="shared" ref="F2:F33" ca="1" si="1">IFERROR(_xlfn.RANK.EQ(E15,E:E),"")</f>
        <v/>
      </c>
      <c r="G15" s="16"/>
      <c r="H15" s="22" t="str">
        <f ca="1">IFERROR(__xludf.dummyfunction("iferror(1000+INT(($N$4-(index(split(G15,"":""),1)*60+index(split(G15,"":""),2 )))/0.2+1)*$N$5,"""")"),"")</f>
        <v/>
      </c>
      <c r="I15" s="16" t="str">
        <f t="shared" ref="I2:I33" ca="1" si="2">IFERROR(_xlfn.RANK.EQ(H15,H:H),"")</f>
        <v/>
      </c>
      <c r="J15" s="22" t="str">
        <f t="shared" si="0"/>
        <v/>
      </c>
      <c r="K15" s="16" t="str">
        <f t="shared" ref="K2:K33" si="3">IFERROR(_xlfn.RANK.EQ(J15,J:J),"")</f>
        <v/>
      </c>
      <c r="L15" s="16"/>
    </row>
    <row r="16" spans="1:14" ht="14.5" x14ac:dyDescent="0.35">
      <c r="A16" s="16"/>
      <c r="B16" s="16"/>
      <c r="C16" s="16"/>
      <c r="D16" s="16"/>
      <c r="E16" s="22" t="str">
        <f ca="1">IFERROR(__xludf.dummyfunction("iferror(1000+INT(($N$2-(index(split(D16,"":""),1)*60+index(split(D16,"":""),2 )))/0.2+1)*$N$3,"""")"),"")</f>
        <v/>
      </c>
      <c r="F16" s="16" t="str">
        <f t="shared" ca="1" si="1"/>
        <v/>
      </c>
      <c r="G16" s="16"/>
      <c r="H16" s="22" t="str">
        <f ca="1">IFERROR(__xludf.dummyfunction("iferror(1000+INT(($N$4-(index(split(G16,"":""),1)*60+index(split(G16,"":""),2 )))/0.2+1)*$N$5,"""")"),"")</f>
        <v/>
      </c>
      <c r="I16" s="16" t="str">
        <f t="shared" ca="1" si="2"/>
        <v/>
      </c>
      <c r="J16" s="22" t="str">
        <f t="shared" si="0"/>
        <v/>
      </c>
      <c r="K16" s="16" t="str">
        <f t="shared" si="3"/>
        <v/>
      </c>
      <c r="L16" s="16"/>
    </row>
    <row r="17" spans="1:12" ht="14.5" x14ac:dyDescent="0.35">
      <c r="A17" s="16"/>
      <c r="B17" s="16"/>
      <c r="C17" s="16"/>
      <c r="D17" s="16"/>
      <c r="E17" s="22" t="str">
        <f ca="1">IFERROR(__xludf.dummyfunction("iferror(1000+INT(($N$2-(index(split(D17,"":""),1)*60+index(split(D17,"":""),2 )))/0.2+1)*$N$3,"""")"),"")</f>
        <v/>
      </c>
      <c r="F17" s="16" t="str">
        <f t="shared" ca="1" si="1"/>
        <v/>
      </c>
      <c r="G17" s="16"/>
      <c r="H17" s="22" t="str">
        <f ca="1">IFERROR(__xludf.dummyfunction("iferror(1000+INT(($N$4-(index(split(G17,"":""),1)*60+index(split(G17,"":""),2 )))/0.2+1)*$N$5,"""")"),"")</f>
        <v/>
      </c>
      <c r="I17" s="16" t="str">
        <f t="shared" ca="1" si="2"/>
        <v/>
      </c>
      <c r="J17" s="22" t="str">
        <f t="shared" si="0"/>
        <v/>
      </c>
      <c r="K17" s="16" t="str">
        <f t="shared" si="3"/>
        <v/>
      </c>
      <c r="L17" s="16"/>
    </row>
    <row r="18" spans="1:12" ht="14.5" x14ac:dyDescent="0.35">
      <c r="A18" s="16"/>
      <c r="B18" s="16"/>
      <c r="C18" s="16"/>
      <c r="D18" s="16"/>
      <c r="E18" s="22" t="str">
        <f ca="1">IFERROR(__xludf.dummyfunction("iferror(1000+INT(($N$2-(index(split(D18,"":""),1)*60+index(split(D18,"":""),2 )))/0.2+1)*$N$3,"""")"),"")</f>
        <v/>
      </c>
      <c r="F18" s="16" t="str">
        <f t="shared" ca="1" si="1"/>
        <v/>
      </c>
      <c r="G18" s="16"/>
      <c r="H18" s="22" t="str">
        <f ca="1">IFERROR(__xludf.dummyfunction("iferror(1000+INT(($N$4-(index(split(G18,"":""),1)*60+index(split(G18,"":""),2 )))/0.2+1)*$N$5,"""")"),"")</f>
        <v/>
      </c>
      <c r="I18" s="16" t="str">
        <f t="shared" ca="1" si="2"/>
        <v/>
      </c>
      <c r="J18" s="22" t="str">
        <f t="shared" si="0"/>
        <v/>
      </c>
      <c r="K18" s="16" t="str">
        <f t="shared" si="3"/>
        <v/>
      </c>
      <c r="L18" s="16"/>
    </row>
    <row r="19" spans="1:12" ht="14.5" x14ac:dyDescent="0.35">
      <c r="A19" s="16"/>
      <c r="B19" s="16"/>
      <c r="C19" s="16"/>
      <c r="D19" s="16"/>
      <c r="E19" s="22" t="str">
        <f ca="1">IFERROR(__xludf.dummyfunction("iferror(1000+INT(($N$2-(index(split(D19,"":""),1)*60+index(split(D19,"":""),2 )))/0.2+1)*$N$3,"""")"),"")</f>
        <v/>
      </c>
      <c r="F19" s="16" t="str">
        <f t="shared" ca="1" si="1"/>
        <v/>
      </c>
      <c r="G19" s="16"/>
      <c r="H19" s="22" t="str">
        <f ca="1">IFERROR(__xludf.dummyfunction("iferror(1000+INT(($N$4-(index(split(G19,"":""),1)*60+index(split(G19,"":""),2 )))/0.2+1)*$N$5,"""")"),"")</f>
        <v/>
      </c>
      <c r="I19" s="16" t="str">
        <f t="shared" ca="1" si="2"/>
        <v/>
      </c>
      <c r="J19" s="22" t="str">
        <f t="shared" si="0"/>
        <v/>
      </c>
      <c r="K19" s="16" t="str">
        <f t="shared" si="3"/>
        <v/>
      </c>
      <c r="L19" s="16"/>
    </row>
    <row r="20" spans="1:12" ht="14.5" x14ac:dyDescent="0.35">
      <c r="A20" s="16"/>
      <c r="B20" s="16"/>
      <c r="C20" s="16"/>
      <c r="D20" s="16"/>
      <c r="E20" s="22" t="str">
        <f ca="1">IFERROR(__xludf.dummyfunction("iferror(1000+INT(($N$2-(index(split(D20,"":""),1)*60+index(split(D20,"":""),2 )))/0.2+1)*$N$3,"""")"),"")</f>
        <v/>
      </c>
      <c r="F20" s="16" t="str">
        <f t="shared" ca="1" si="1"/>
        <v/>
      </c>
      <c r="G20" s="16"/>
      <c r="H20" s="22" t="str">
        <f ca="1">IFERROR(__xludf.dummyfunction("iferror(1000+INT(($N$4-(index(split(G20,"":""),1)*60+index(split(G20,"":""),2 )))/0.2+1)*$N$5,"""")"),"")</f>
        <v/>
      </c>
      <c r="I20" s="16" t="str">
        <f t="shared" ca="1" si="2"/>
        <v/>
      </c>
      <c r="J20" s="22" t="str">
        <f t="shared" si="0"/>
        <v/>
      </c>
      <c r="K20" s="16" t="str">
        <f t="shared" si="3"/>
        <v/>
      </c>
      <c r="L20" s="16"/>
    </row>
    <row r="21" spans="1:12" ht="14.5" x14ac:dyDescent="0.35">
      <c r="A21" s="16"/>
      <c r="B21" s="16"/>
      <c r="C21" s="16"/>
      <c r="D21" s="16"/>
      <c r="E21" s="22" t="str">
        <f ca="1">IFERROR(__xludf.dummyfunction("iferror(1000+INT(($N$2-(index(split(D21,"":""),1)*60+index(split(D21,"":""),2 )))/0.2+1)*$N$3,"""")"),"")</f>
        <v/>
      </c>
      <c r="F21" s="16" t="str">
        <f t="shared" ca="1" si="1"/>
        <v/>
      </c>
      <c r="G21" s="16"/>
      <c r="H21" s="22" t="str">
        <f ca="1">IFERROR(__xludf.dummyfunction("iferror(1000+INT(($N$4-(index(split(G21,"":""),1)*60+index(split(G21,"":""),2 )))/0.2+1)*$N$5,"""")"),"")</f>
        <v/>
      </c>
      <c r="I21" s="16" t="str">
        <f t="shared" ca="1" si="2"/>
        <v/>
      </c>
      <c r="J21" s="22" t="str">
        <f t="shared" si="0"/>
        <v/>
      </c>
      <c r="K21" s="16" t="str">
        <f t="shared" si="3"/>
        <v/>
      </c>
      <c r="L21" s="16"/>
    </row>
    <row r="22" spans="1:12" ht="14.5" x14ac:dyDescent="0.35">
      <c r="A22" s="16"/>
      <c r="B22" s="16"/>
      <c r="C22" s="16"/>
      <c r="D22" s="16"/>
      <c r="E22" s="22" t="str">
        <f ca="1">IFERROR(__xludf.dummyfunction("iferror(1000+INT(($N$2-(index(split(D22,"":""),1)*60+index(split(D22,"":""),2 )))/0.2+1)*$N$3,"""")"),"")</f>
        <v/>
      </c>
      <c r="F22" s="16" t="str">
        <f t="shared" ca="1" si="1"/>
        <v/>
      </c>
      <c r="G22" s="16"/>
      <c r="H22" s="22" t="str">
        <f ca="1">IFERROR(__xludf.dummyfunction("iferror(1000+INT(($N$4-(index(split(G22,"":""),1)*60+index(split(G22,"":""),2 )))/0.2+1)*$N$5,"""")"),"")</f>
        <v/>
      </c>
      <c r="I22" s="16" t="str">
        <f t="shared" ca="1" si="2"/>
        <v/>
      </c>
      <c r="J22" s="22" t="str">
        <f t="shared" si="0"/>
        <v/>
      </c>
      <c r="K22" s="16" t="str">
        <f t="shared" si="3"/>
        <v/>
      </c>
      <c r="L22" s="16"/>
    </row>
    <row r="23" spans="1:12" ht="14.5" x14ac:dyDescent="0.35">
      <c r="A23" s="16"/>
      <c r="B23" s="16"/>
      <c r="C23" s="16"/>
      <c r="D23" s="16"/>
      <c r="E23" s="22" t="str">
        <f ca="1">IFERROR(__xludf.dummyfunction("iferror(1000+INT(($N$2-(index(split(D23,"":""),1)*60+index(split(D23,"":""),2 )))/0.2+1)*$N$3,"""")"),"")</f>
        <v/>
      </c>
      <c r="F23" s="16" t="str">
        <f t="shared" ca="1" si="1"/>
        <v/>
      </c>
      <c r="G23" s="16"/>
      <c r="H23" s="22" t="str">
        <f ca="1">IFERROR(__xludf.dummyfunction("iferror(1000+INT(($N$4-(index(split(G23,"":""),1)*60+index(split(G23,"":""),2 )))/0.2+1)*$N$5,"""")"),"")</f>
        <v/>
      </c>
      <c r="I23" s="16" t="str">
        <f t="shared" ca="1" si="2"/>
        <v/>
      </c>
      <c r="J23" s="22" t="str">
        <f t="shared" si="0"/>
        <v/>
      </c>
      <c r="K23" s="16" t="str">
        <f t="shared" si="3"/>
        <v/>
      </c>
      <c r="L23" s="16"/>
    </row>
    <row r="24" spans="1:12" ht="14.5" x14ac:dyDescent="0.35">
      <c r="A24" s="16"/>
      <c r="B24" s="16"/>
      <c r="C24" s="16"/>
      <c r="D24" s="16"/>
      <c r="E24" s="22" t="str">
        <f ca="1">IFERROR(__xludf.dummyfunction("iferror(1000+INT(($N$2-(index(split(D24,"":""),1)*60+index(split(D24,"":""),2 )))/0.2+1)*$N$3,"""")"),"")</f>
        <v/>
      </c>
      <c r="F24" s="16" t="str">
        <f t="shared" ca="1" si="1"/>
        <v/>
      </c>
      <c r="G24" s="16"/>
      <c r="H24" s="22" t="str">
        <f ca="1">IFERROR(__xludf.dummyfunction("iferror(1000+INT(($N$4-(index(split(G24,"":""),1)*60+index(split(G24,"":""),2 )))/0.2+1)*$N$5,"""")"),"")</f>
        <v/>
      </c>
      <c r="I24" s="16" t="str">
        <f t="shared" ca="1" si="2"/>
        <v/>
      </c>
      <c r="J24" s="22" t="str">
        <f t="shared" si="0"/>
        <v/>
      </c>
      <c r="K24" s="16" t="str">
        <f t="shared" si="3"/>
        <v/>
      </c>
      <c r="L24" s="16"/>
    </row>
    <row r="25" spans="1:12" ht="14.5" x14ac:dyDescent="0.35">
      <c r="A25" s="16"/>
      <c r="B25" s="16"/>
      <c r="C25" s="16"/>
      <c r="D25" s="16"/>
      <c r="E25" s="22" t="str">
        <f ca="1">IFERROR(__xludf.dummyfunction("iferror(1000+INT(($N$2-(index(split(D25,"":""),1)*60+index(split(D25,"":""),2 )))/0.2+1)*$N$3,"""")"),"")</f>
        <v/>
      </c>
      <c r="F25" s="16" t="str">
        <f t="shared" ca="1" si="1"/>
        <v/>
      </c>
      <c r="G25" s="16"/>
      <c r="H25" s="22" t="str">
        <f ca="1">IFERROR(__xludf.dummyfunction("iferror(1000+INT(($N$4-(index(split(G25,"":""),1)*60+index(split(G25,"":""),2 )))/0.2+1)*$N$5,"""")"),"")</f>
        <v/>
      </c>
      <c r="I25" s="16" t="str">
        <f t="shared" ca="1" si="2"/>
        <v/>
      </c>
      <c r="J25" s="22" t="str">
        <f t="shared" si="0"/>
        <v/>
      </c>
      <c r="K25" s="16" t="str">
        <f t="shared" si="3"/>
        <v/>
      </c>
      <c r="L25" s="16"/>
    </row>
    <row r="26" spans="1:12" ht="14.5" x14ac:dyDescent="0.35">
      <c r="A26" s="16"/>
      <c r="B26" s="16"/>
      <c r="C26" s="16"/>
      <c r="D26" s="16"/>
      <c r="E26" s="22" t="str">
        <f ca="1">IFERROR(__xludf.dummyfunction("iferror(1000+INT(($N$2-(index(split(D26,"":""),1)*60+index(split(D26,"":""),2 )))/0.2+1)*$N$3,"""")"),"")</f>
        <v/>
      </c>
      <c r="F26" s="16" t="str">
        <f t="shared" ca="1" si="1"/>
        <v/>
      </c>
      <c r="G26" s="16"/>
      <c r="H26" s="22" t="str">
        <f ca="1">IFERROR(__xludf.dummyfunction("iferror(1000+INT(($N$4-(index(split(G26,"":""),1)*60+index(split(G26,"":""),2 )))/0.2+1)*$N$5,"""")"),"")</f>
        <v/>
      </c>
      <c r="I26" s="16" t="str">
        <f t="shared" ca="1" si="2"/>
        <v/>
      </c>
      <c r="J26" s="22" t="str">
        <f t="shared" si="0"/>
        <v/>
      </c>
      <c r="K26" s="16" t="str">
        <f t="shared" si="3"/>
        <v/>
      </c>
      <c r="L26" s="16"/>
    </row>
    <row r="27" spans="1:12" ht="14.5" x14ac:dyDescent="0.35">
      <c r="A27" s="16"/>
      <c r="B27" s="16"/>
      <c r="C27" s="16"/>
      <c r="D27" s="16"/>
      <c r="E27" s="22" t="str">
        <f ca="1">IFERROR(__xludf.dummyfunction("iferror(1000+INT(($N$2-(index(split(D27,"":""),1)*60+index(split(D27,"":""),2 )))/0.2+1)*$N$3,"""")"),"")</f>
        <v/>
      </c>
      <c r="F27" s="16" t="str">
        <f t="shared" ca="1" si="1"/>
        <v/>
      </c>
      <c r="G27" s="16"/>
      <c r="H27" s="22" t="str">
        <f ca="1">IFERROR(__xludf.dummyfunction("iferror(1000+INT(($N$4-(index(split(G27,"":""),1)*60+index(split(G27,"":""),2 )))/0.2+1)*$N$5,"""")"),"")</f>
        <v/>
      </c>
      <c r="I27" s="16" t="str">
        <f t="shared" ca="1" si="2"/>
        <v/>
      </c>
      <c r="J27" s="22" t="str">
        <f t="shared" si="0"/>
        <v/>
      </c>
      <c r="K27" s="16" t="str">
        <f t="shared" si="3"/>
        <v/>
      </c>
      <c r="L27" s="16"/>
    </row>
    <row r="28" spans="1:12" ht="14.5" x14ac:dyDescent="0.35">
      <c r="A28" s="16"/>
      <c r="B28" s="16"/>
      <c r="C28" s="16"/>
      <c r="D28" s="16"/>
      <c r="E28" s="22" t="str">
        <f ca="1">IFERROR(__xludf.dummyfunction("iferror(1000+INT(($N$2-(index(split(D28,"":""),1)*60+index(split(D28,"":""),2 )))/0.2+1)*$N$3,"""")"),"")</f>
        <v/>
      </c>
      <c r="F28" s="16" t="str">
        <f t="shared" ca="1" si="1"/>
        <v/>
      </c>
      <c r="G28" s="16"/>
      <c r="H28" s="22" t="str">
        <f ca="1">IFERROR(__xludf.dummyfunction("iferror(1000+INT(($N$4-(index(split(G28,"":""),1)*60+index(split(G28,"":""),2 )))/0.2+1)*$N$5,"""")"),"")</f>
        <v/>
      </c>
      <c r="I28" s="16" t="str">
        <f t="shared" ca="1" si="2"/>
        <v/>
      </c>
      <c r="J28" s="22" t="str">
        <f t="shared" si="0"/>
        <v/>
      </c>
      <c r="K28" s="16" t="str">
        <f t="shared" si="3"/>
        <v/>
      </c>
      <c r="L28" s="16"/>
    </row>
    <row r="29" spans="1:12" ht="14.5" x14ac:dyDescent="0.35">
      <c r="A29" s="16"/>
      <c r="B29" s="16"/>
      <c r="C29" s="16"/>
      <c r="D29" s="16"/>
      <c r="E29" s="22" t="str">
        <f ca="1">IFERROR(__xludf.dummyfunction("iferror(1000+INT(($N$2-(index(split(D29,"":""),1)*60+index(split(D29,"":""),2 )))/0.2+1)*$N$3,"""")"),"")</f>
        <v/>
      </c>
      <c r="F29" s="16" t="str">
        <f t="shared" ca="1" si="1"/>
        <v/>
      </c>
      <c r="G29" s="16"/>
      <c r="H29" s="22" t="str">
        <f ca="1">IFERROR(__xludf.dummyfunction("iferror(1000+INT(($N$4-(index(split(G29,"":""),1)*60+index(split(G29,"":""),2 )))/0.2+1)*$N$5,"""")"),"")</f>
        <v/>
      </c>
      <c r="I29" s="16" t="str">
        <f t="shared" ca="1" si="2"/>
        <v/>
      </c>
      <c r="J29" s="22" t="str">
        <f t="shared" si="0"/>
        <v/>
      </c>
      <c r="K29" s="16" t="str">
        <f t="shared" si="3"/>
        <v/>
      </c>
      <c r="L29" s="16"/>
    </row>
    <row r="30" spans="1:12" ht="14.5" x14ac:dyDescent="0.35">
      <c r="A30" s="16"/>
      <c r="B30" s="16"/>
      <c r="C30" s="16"/>
      <c r="D30" s="16"/>
      <c r="E30" s="22" t="str">
        <f ca="1">IFERROR(__xludf.dummyfunction("iferror(1000+INT(($N$2-(index(split(D30,"":""),1)*60+index(split(D30,"":""),2 )))/0.2+1)*$N$3,"""")"),"")</f>
        <v/>
      </c>
      <c r="F30" s="16" t="str">
        <f t="shared" ca="1" si="1"/>
        <v/>
      </c>
      <c r="G30" s="16"/>
      <c r="H30" s="22" t="str">
        <f ca="1">IFERROR(__xludf.dummyfunction("iferror(1000+INT(($N$4-(index(split(G30,"":""),1)*60+index(split(G30,"":""),2 )))/0.2+1)*$N$5,"""")"),"")</f>
        <v/>
      </c>
      <c r="I30" s="16" t="str">
        <f t="shared" ca="1" si="2"/>
        <v/>
      </c>
      <c r="J30" s="22" t="str">
        <f t="shared" si="0"/>
        <v/>
      </c>
      <c r="K30" s="16" t="str">
        <f t="shared" si="3"/>
        <v/>
      </c>
      <c r="L30" s="16"/>
    </row>
    <row r="31" spans="1:12" ht="14.5" x14ac:dyDescent="0.35">
      <c r="A31" s="16"/>
      <c r="B31" s="16"/>
      <c r="C31" s="16"/>
      <c r="D31" s="16"/>
      <c r="E31" s="22" t="str">
        <f ca="1">IFERROR(__xludf.dummyfunction("iferror(1000+INT(($N$2-(index(split(D31,"":""),1)*60+index(split(D31,"":""),2 )))/0.2+1)*$N$3,"""")"),"")</f>
        <v/>
      </c>
      <c r="F31" s="16" t="str">
        <f t="shared" ca="1" si="1"/>
        <v/>
      </c>
      <c r="G31" s="16"/>
      <c r="H31" s="22" t="str">
        <f ca="1">IFERROR(__xludf.dummyfunction("iferror(1000+INT(($N$4-(index(split(G31,"":""),1)*60+index(split(G31,"":""),2 )))/0.2+1)*$N$5,"""")"),"")</f>
        <v/>
      </c>
      <c r="I31" s="16" t="str">
        <f t="shared" ca="1" si="2"/>
        <v/>
      </c>
      <c r="J31" s="16" t="str">
        <f t="shared" ref="J2:J33" si="4">IF(AND(D31="", G31=""), "", E31+H31)</f>
        <v/>
      </c>
      <c r="K31" s="16" t="str">
        <f t="shared" si="3"/>
        <v/>
      </c>
      <c r="L31" s="16"/>
    </row>
    <row r="32" spans="1:12" ht="14.5" x14ac:dyDescent="0.35">
      <c r="A32" s="16"/>
      <c r="B32" s="16"/>
      <c r="C32" s="16"/>
      <c r="D32" s="16"/>
      <c r="E32" s="22" t="str">
        <f ca="1">IFERROR(__xludf.dummyfunction("iferror(1000+INT(($N$2-(index(split(D32,"":""),1)*60+index(split(D32,"":""),2 )))/0.2+1)*$N$3,"""")"),"")</f>
        <v/>
      </c>
      <c r="F32" s="16" t="str">
        <f t="shared" ca="1" si="1"/>
        <v/>
      </c>
      <c r="G32" s="16"/>
      <c r="H32" s="22" t="str">
        <f ca="1">IFERROR(__xludf.dummyfunction("iferror(1000+INT(($N$4-(index(split(G32,"":""),1)*60+index(split(G32,"":""),2 )))/0.2+1)*$N$5,"""")"),"")</f>
        <v/>
      </c>
      <c r="I32" s="16" t="str">
        <f t="shared" ca="1" si="2"/>
        <v/>
      </c>
      <c r="J32" s="16" t="str">
        <f t="shared" si="4"/>
        <v/>
      </c>
      <c r="K32" s="16" t="str">
        <f t="shared" si="3"/>
        <v/>
      </c>
      <c r="L32" s="16"/>
    </row>
    <row r="33" spans="1:12" ht="14.5" x14ac:dyDescent="0.35">
      <c r="A33" s="16"/>
      <c r="B33" s="16"/>
      <c r="C33" s="16"/>
      <c r="D33" s="16"/>
      <c r="E33" s="22" t="str">
        <f ca="1">IFERROR(__xludf.dummyfunction("iferror(1000+INT(($N$2-(index(split(D33,"":""),1)*60+index(split(D33,"":""),2 )))/0.2+1)*$N$3,"""")"),"")</f>
        <v/>
      </c>
      <c r="F33" s="16" t="str">
        <f t="shared" ca="1" si="1"/>
        <v/>
      </c>
      <c r="G33" s="16"/>
      <c r="H33" s="22" t="str">
        <f ca="1">IFERROR(__xludf.dummyfunction("iferror(1000+INT(($N$4-(index(split(G33,"":""),1)*60+index(split(G33,"":""),2 )))/0.2+1)*$N$5,"""")"),"")</f>
        <v/>
      </c>
      <c r="I33" s="16" t="str">
        <f t="shared" ca="1" si="2"/>
        <v/>
      </c>
      <c r="J33" s="16" t="str">
        <f t="shared" si="4"/>
        <v/>
      </c>
      <c r="K33" s="16" t="str">
        <f t="shared" si="3"/>
        <v/>
      </c>
      <c r="L33" s="16"/>
    </row>
    <row r="34" spans="1:12" ht="14.5" x14ac:dyDescent="0.35">
      <c r="A34" s="16"/>
      <c r="B34" s="16"/>
      <c r="C34" s="16"/>
      <c r="D34" s="16"/>
      <c r="E34" s="22" t="str">
        <f ca="1">IFERROR(__xludf.dummyfunction("iferror(1000+INT(($N$2-(index(split(D34,"":""),1)*60+index(split(D34,"":""),2 )))/0.2+1)*$N$3,"""")"),"")</f>
        <v/>
      </c>
      <c r="F34" s="16" t="str">
        <f t="shared" ref="F34:F65" ca="1" si="5">IFERROR(_xlfn.RANK.EQ(E34,E:E),"")</f>
        <v/>
      </c>
      <c r="G34" s="16"/>
      <c r="H34" s="22" t="str">
        <f ca="1">IFERROR(__xludf.dummyfunction("iferror(1000+INT(($N$4-(index(split(G34,"":""),1)*60+index(split(G34,"":""),2 )))/0.2+1)*$N$5,"""")"),"")</f>
        <v/>
      </c>
      <c r="I34" s="16" t="str">
        <f t="shared" ref="I34:I65" ca="1" si="6">IFERROR(_xlfn.RANK.EQ(H34,H:H),"")</f>
        <v/>
      </c>
      <c r="J34" s="16" t="str">
        <f t="shared" ref="J34:J65" si="7">IF(AND(D34="", G34=""), "", E34+H34)</f>
        <v/>
      </c>
      <c r="K34" s="16" t="str">
        <f t="shared" ref="K34:K65" si="8">IFERROR(_xlfn.RANK.EQ(J34,J:J),"")</f>
        <v/>
      </c>
      <c r="L34" s="16"/>
    </row>
    <row r="35" spans="1:12" ht="14.5" x14ac:dyDescent="0.35">
      <c r="A35" s="16"/>
      <c r="B35" s="16"/>
      <c r="C35" s="16"/>
      <c r="D35" s="16"/>
      <c r="E35" s="22" t="str">
        <f ca="1">IFERROR(__xludf.dummyfunction("iferror(1000+INT(($N$2-(index(split(D35,"":""),1)*60+index(split(D35,"":""),2 )))/0.2+1)*$N$3,"""")"),"")</f>
        <v/>
      </c>
      <c r="F35" s="16" t="str">
        <f t="shared" ca="1" si="5"/>
        <v/>
      </c>
      <c r="G35" s="16"/>
      <c r="H35" s="22" t="str">
        <f ca="1">IFERROR(__xludf.dummyfunction("iferror(1000+INT(($N$4-(index(split(G35,"":""),1)*60+index(split(G35,"":""),2 )))/0.2+1)*$N$5,"""")"),"")</f>
        <v/>
      </c>
      <c r="I35" s="16" t="str">
        <f t="shared" ca="1" si="6"/>
        <v/>
      </c>
      <c r="J35" s="16" t="str">
        <f t="shared" si="7"/>
        <v/>
      </c>
      <c r="K35" s="16" t="str">
        <f t="shared" si="8"/>
        <v/>
      </c>
      <c r="L35" s="16"/>
    </row>
    <row r="36" spans="1:12" ht="14.5" x14ac:dyDescent="0.35">
      <c r="A36" s="16"/>
      <c r="B36" s="16"/>
      <c r="C36" s="16"/>
      <c r="D36" s="16"/>
      <c r="E36" s="22" t="str">
        <f ca="1">IFERROR(__xludf.dummyfunction("iferror(1000+INT(($N$2-(index(split(D36,"":""),1)*60+index(split(D36,"":""),2 )))/0.2+1)*$N$3,"""")"),"")</f>
        <v/>
      </c>
      <c r="F36" s="16" t="str">
        <f t="shared" ca="1" si="5"/>
        <v/>
      </c>
      <c r="G36" s="16"/>
      <c r="H36" s="22" t="str">
        <f ca="1">IFERROR(__xludf.dummyfunction("iferror(1000+INT(($N$4-(index(split(G36,"":""),1)*60+index(split(G36,"":""),2 )))/0.2+1)*$N$5,"""")"),"")</f>
        <v/>
      </c>
      <c r="I36" s="16" t="str">
        <f t="shared" ca="1" si="6"/>
        <v/>
      </c>
      <c r="J36" s="16" t="str">
        <f t="shared" si="7"/>
        <v/>
      </c>
      <c r="K36" s="16" t="str">
        <f t="shared" si="8"/>
        <v/>
      </c>
      <c r="L36" s="16"/>
    </row>
    <row r="37" spans="1:12" ht="14.5" x14ac:dyDescent="0.35">
      <c r="A37" s="16"/>
      <c r="B37" s="16"/>
      <c r="C37" s="16"/>
      <c r="D37" s="16"/>
      <c r="E37" s="22" t="str">
        <f ca="1">IFERROR(__xludf.dummyfunction("iferror(1000+INT(($N$2-(index(split(D37,"":""),1)*60+index(split(D37,"":""),2 )))/0.2+1)*$N$3,"""")"),"")</f>
        <v/>
      </c>
      <c r="F37" s="16" t="str">
        <f t="shared" ca="1" si="5"/>
        <v/>
      </c>
      <c r="G37" s="16"/>
      <c r="H37" s="22" t="str">
        <f ca="1">IFERROR(__xludf.dummyfunction("iferror(1000+INT(($N$4-(index(split(G37,"":""),1)*60+index(split(G37,"":""),2 )))/0.2+1)*$N$5,"""")"),"")</f>
        <v/>
      </c>
      <c r="I37" s="16" t="str">
        <f t="shared" ca="1" si="6"/>
        <v/>
      </c>
      <c r="J37" s="16" t="str">
        <f t="shared" si="7"/>
        <v/>
      </c>
      <c r="K37" s="16" t="str">
        <f t="shared" si="8"/>
        <v/>
      </c>
      <c r="L37" s="16"/>
    </row>
    <row r="38" spans="1:12" ht="14.5" x14ac:dyDescent="0.35">
      <c r="A38" s="16"/>
      <c r="B38" s="16"/>
      <c r="C38" s="16"/>
      <c r="D38" s="16"/>
      <c r="E38" s="22" t="str">
        <f ca="1">IFERROR(__xludf.dummyfunction("iferror(1000+INT(($N$2-(index(split(D38,"":""),1)*60+index(split(D38,"":""),2 )))/0.2+1)*$N$3,"""")"),"")</f>
        <v/>
      </c>
      <c r="F38" s="16" t="str">
        <f t="shared" ca="1" si="5"/>
        <v/>
      </c>
      <c r="G38" s="16"/>
      <c r="H38" s="22" t="str">
        <f ca="1">IFERROR(__xludf.dummyfunction("iferror(1000+INT(($N$4-(index(split(G38,"":""),1)*60+index(split(G38,"":""),2 )))/0.2+1)*$N$5,"""")"),"")</f>
        <v/>
      </c>
      <c r="I38" s="16" t="str">
        <f t="shared" ca="1" si="6"/>
        <v/>
      </c>
      <c r="J38" s="16" t="str">
        <f t="shared" si="7"/>
        <v/>
      </c>
      <c r="K38" s="16" t="str">
        <f t="shared" si="8"/>
        <v/>
      </c>
      <c r="L38" s="16"/>
    </row>
    <row r="39" spans="1:12" ht="14.5" x14ac:dyDescent="0.35">
      <c r="A39" s="16"/>
      <c r="B39" s="16"/>
      <c r="C39" s="16"/>
      <c r="D39" s="16"/>
      <c r="E39" s="22" t="str">
        <f ca="1">IFERROR(__xludf.dummyfunction("iferror(1000+INT(($N$2-(index(split(D39,"":""),1)*60+index(split(D39,"":""),2 )))/0.2+1)*$N$3,"""")"),"")</f>
        <v/>
      </c>
      <c r="F39" s="16" t="str">
        <f t="shared" ca="1" si="5"/>
        <v/>
      </c>
      <c r="G39" s="16"/>
      <c r="H39" s="22" t="str">
        <f ca="1">IFERROR(__xludf.dummyfunction("iferror(1000+INT(($N$4-(index(split(G39,"":""),1)*60+index(split(G39,"":""),2 )))/0.2+1)*$N$5,"""")"),"")</f>
        <v/>
      </c>
      <c r="I39" s="16" t="str">
        <f t="shared" ca="1" si="6"/>
        <v/>
      </c>
      <c r="J39" s="16" t="str">
        <f t="shared" si="7"/>
        <v/>
      </c>
      <c r="K39" s="16" t="str">
        <f t="shared" si="8"/>
        <v/>
      </c>
      <c r="L39" s="16"/>
    </row>
    <row r="40" spans="1:12" ht="14.5" x14ac:dyDescent="0.35">
      <c r="A40" s="16"/>
      <c r="B40" s="16"/>
      <c r="C40" s="16"/>
      <c r="D40" s="16"/>
      <c r="E40" s="22" t="str">
        <f ca="1">IFERROR(__xludf.dummyfunction("iferror(1000+INT(($N$2-(index(split(D40,"":""),1)*60+index(split(D40,"":""),2 )))/0.2+1)*$N$3,"""")"),"")</f>
        <v/>
      </c>
      <c r="F40" s="16" t="str">
        <f t="shared" ca="1" si="5"/>
        <v/>
      </c>
      <c r="G40" s="16"/>
      <c r="H40" s="22" t="str">
        <f ca="1">IFERROR(__xludf.dummyfunction("iferror(1000+INT(($N$4-(index(split(G40,"":""),1)*60+index(split(G40,"":""),2 )))/0.2+1)*$N$5,"""")"),"")</f>
        <v/>
      </c>
      <c r="I40" s="16" t="str">
        <f t="shared" ca="1" si="6"/>
        <v/>
      </c>
      <c r="J40" s="16" t="str">
        <f t="shared" si="7"/>
        <v/>
      </c>
      <c r="K40" s="16" t="str">
        <f t="shared" si="8"/>
        <v/>
      </c>
      <c r="L40" s="16"/>
    </row>
    <row r="41" spans="1:12" ht="14.5" x14ac:dyDescent="0.35">
      <c r="A41" s="16"/>
      <c r="B41" s="16"/>
      <c r="C41" s="16"/>
      <c r="D41" s="16"/>
      <c r="E41" s="22" t="str">
        <f ca="1">IFERROR(__xludf.dummyfunction("iferror(1000+INT(($N$2-(index(split(D41,"":""),1)*60+index(split(D41,"":""),2 )))/0.2+1)*$N$3,"""")"),"")</f>
        <v/>
      </c>
      <c r="F41" s="16" t="str">
        <f t="shared" ca="1" si="5"/>
        <v/>
      </c>
      <c r="G41" s="16"/>
      <c r="H41" s="22" t="str">
        <f ca="1">IFERROR(__xludf.dummyfunction("iferror(1000+INT(($N$4-(index(split(G41,"":""),1)*60+index(split(G41,"":""),2 )))/0.2+1)*$N$5,"""")"),"")</f>
        <v/>
      </c>
      <c r="I41" s="16" t="str">
        <f t="shared" ca="1" si="6"/>
        <v/>
      </c>
      <c r="J41" s="16" t="str">
        <f t="shared" si="7"/>
        <v/>
      </c>
      <c r="K41" s="16" t="str">
        <f t="shared" si="8"/>
        <v/>
      </c>
      <c r="L41" s="16"/>
    </row>
    <row r="42" spans="1:12" ht="14.5" x14ac:dyDescent="0.35">
      <c r="A42" s="16"/>
      <c r="B42" s="16"/>
      <c r="C42" s="16"/>
      <c r="D42" s="16"/>
      <c r="E42" s="22" t="str">
        <f ca="1">IFERROR(__xludf.dummyfunction("iferror(1000+INT(($N$2-(index(split(D42,"":""),1)*60+index(split(D42,"":""),2 )))/0.2+1)*$N$3,"""")"),"")</f>
        <v/>
      </c>
      <c r="F42" s="16" t="str">
        <f t="shared" ca="1" si="5"/>
        <v/>
      </c>
      <c r="G42" s="16"/>
      <c r="H42" s="22" t="str">
        <f ca="1">IFERROR(__xludf.dummyfunction("iferror(1000+INT(($N$4-(index(split(G42,"":""),1)*60+index(split(G42,"":""),2 )))/0.2+1)*$N$5,"""")"),"")</f>
        <v/>
      </c>
      <c r="I42" s="16" t="str">
        <f t="shared" ca="1" si="6"/>
        <v/>
      </c>
      <c r="J42" s="16" t="str">
        <f t="shared" si="7"/>
        <v/>
      </c>
      <c r="K42" s="16" t="str">
        <f t="shared" si="8"/>
        <v/>
      </c>
      <c r="L42" s="16"/>
    </row>
    <row r="43" spans="1:12" ht="14.5" x14ac:dyDescent="0.35">
      <c r="A43" s="16"/>
      <c r="B43" s="16"/>
      <c r="C43" s="16"/>
      <c r="D43" s="16"/>
      <c r="E43" s="22" t="str">
        <f ca="1">IFERROR(__xludf.dummyfunction("iferror(1000+INT(($N$2-(index(split(D43,"":""),1)*60+index(split(D43,"":""),2 )))/0.2+1)*$N$3,"""")"),"")</f>
        <v/>
      </c>
      <c r="F43" s="16" t="str">
        <f t="shared" ca="1" si="5"/>
        <v/>
      </c>
      <c r="G43" s="16"/>
      <c r="H43" s="22" t="str">
        <f ca="1">IFERROR(__xludf.dummyfunction("iferror(1000+INT(($N$4-(index(split(G43,"":""),1)*60+index(split(G43,"":""),2 )))/0.2+1)*$N$5,"""")"),"")</f>
        <v/>
      </c>
      <c r="I43" s="16" t="str">
        <f t="shared" ca="1" si="6"/>
        <v/>
      </c>
      <c r="J43" s="16" t="str">
        <f t="shared" si="7"/>
        <v/>
      </c>
      <c r="K43" s="16" t="str">
        <f t="shared" si="8"/>
        <v/>
      </c>
      <c r="L43" s="16"/>
    </row>
    <row r="44" spans="1:12" ht="14.5" x14ac:dyDescent="0.35">
      <c r="A44" s="16"/>
      <c r="B44" s="16"/>
      <c r="C44" s="16"/>
      <c r="D44" s="16"/>
      <c r="E44" s="22" t="str">
        <f ca="1">IFERROR(__xludf.dummyfunction("iferror(1000+INT(($N$2-(index(split(D44,"":""),1)*60+index(split(D44,"":""),2 )))/0.2+1)*$N$3,"""")"),"")</f>
        <v/>
      </c>
      <c r="F44" s="16" t="str">
        <f t="shared" ca="1" si="5"/>
        <v/>
      </c>
      <c r="G44" s="16"/>
      <c r="H44" s="22" t="str">
        <f ca="1">IFERROR(__xludf.dummyfunction("iferror(1000+INT(($N$4-(index(split(G44,"":""),1)*60+index(split(G44,"":""),2 )))/0.2+1)*$N$5,"""")"),"")</f>
        <v/>
      </c>
      <c r="I44" s="16" t="str">
        <f t="shared" ca="1" si="6"/>
        <v/>
      </c>
      <c r="J44" s="16" t="str">
        <f t="shared" si="7"/>
        <v/>
      </c>
      <c r="K44" s="16" t="str">
        <f t="shared" si="8"/>
        <v/>
      </c>
      <c r="L44" s="16"/>
    </row>
    <row r="45" spans="1:12" ht="14.5" x14ac:dyDescent="0.35">
      <c r="A45" s="16"/>
      <c r="B45" s="16"/>
      <c r="C45" s="16"/>
      <c r="D45" s="16"/>
      <c r="E45" s="22" t="str">
        <f ca="1">IFERROR(__xludf.dummyfunction("iferror(1000+INT(($N$2-(index(split(D45,"":""),1)*60+index(split(D45,"":""),2 )))/0.2+1)*$N$3,"""")"),"")</f>
        <v/>
      </c>
      <c r="F45" s="16" t="str">
        <f t="shared" ca="1" si="5"/>
        <v/>
      </c>
      <c r="G45" s="16"/>
      <c r="H45" s="22" t="str">
        <f ca="1">IFERROR(__xludf.dummyfunction("iferror(1000+INT(($N$4-(index(split(G45,"":""),1)*60+index(split(G45,"":""),2 )))/0.2+1)*$N$5,"""")"),"")</f>
        <v/>
      </c>
      <c r="I45" s="16" t="str">
        <f t="shared" ca="1" si="6"/>
        <v/>
      </c>
      <c r="J45" s="16" t="str">
        <f t="shared" si="7"/>
        <v/>
      </c>
      <c r="K45" s="16" t="str">
        <f t="shared" si="8"/>
        <v/>
      </c>
      <c r="L45" s="16"/>
    </row>
    <row r="46" spans="1:12" ht="14.5" x14ac:dyDescent="0.35">
      <c r="A46" s="16"/>
      <c r="B46" s="16"/>
      <c r="C46" s="16"/>
      <c r="D46" s="16"/>
      <c r="E46" s="22" t="str">
        <f ca="1">IFERROR(__xludf.dummyfunction("iferror(1000+INT(($N$2-(index(split(D46,"":""),1)*60+index(split(D46,"":""),2 )))/0.2+1)*$N$3,"""")"),"")</f>
        <v/>
      </c>
      <c r="F46" s="16" t="str">
        <f t="shared" ca="1" si="5"/>
        <v/>
      </c>
      <c r="G46" s="16"/>
      <c r="H46" s="22" t="str">
        <f ca="1">IFERROR(__xludf.dummyfunction("iferror(1000+INT(($N$4-(index(split(G46,"":""),1)*60+index(split(G46,"":""),2 )))/0.2+1)*$N$5,"""")"),"")</f>
        <v/>
      </c>
      <c r="I46" s="16" t="str">
        <f t="shared" ca="1" si="6"/>
        <v/>
      </c>
      <c r="J46" s="16" t="str">
        <f t="shared" si="7"/>
        <v/>
      </c>
      <c r="K46" s="16" t="str">
        <f t="shared" si="8"/>
        <v/>
      </c>
      <c r="L46" s="16"/>
    </row>
    <row r="47" spans="1:12" ht="14.5" x14ac:dyDescent="0.35">
      <c r="A47" s="16"/>
      <c r="B47" s="16"/>
      <c r="C47" s="16"/>
      <c r="D47" s="16"/>
      <c r="E47" s="22" t="str">
        <f ca="1">IFERROR(__xludf.dummyfunction("iferror(1000+INT(($N$2-(index(split(D47,"":""),1)*60+index(split(D47,"":""),2 )))/0.2+1)*$N$3,"""")"),"")</f>
        <v/>
      </c>
      <c r="F47" s="16" t="str">
        <f t="shared" ca="1" si="5"/>
        <v/>
      </c>
      <c r="G47" s="16"/>
      <c r="H47" s="22" t="str">
        <f ca="1">IFERROR(__xludf.dummyfunction("iferror(1000+INT(($N$4-(index(split(G47,"":""),1)*60+index(split(G47,"":""),2 )))/0.2+1)*$N$5,"""")"),"")</f>
        <v/>
      </c>
      <c r="I47" s="16" t="str">
        <f t="shared" ca="1" si="6"/>
        <v/>
      </c>
      <c r="J47" s="16" t="str">
        <f t="shared" si="7"/>
        <v/>
      </c>
      <c r="K47" s="16" t="str">
        <f t="shared" si="8"/>
        <v/>
      </c>
      <c r="L47" s="16"/>
    </row>
    <row r="48" spans="1:12" ht="14.5" x14ac:dyDescent="0.35">
      <c r="A48" s="16"/>
      <c r="B48" s="16"/>
      <c r="C48" s="16"/>
      <c r="D48" s="16"/>
      <c r="E48" s="22" t="str">
        <f ca="1">IFERROR(__xludf.dummyfunction("iferror(1000+INT(($N$2-(index(split(D48,"":""),1)*60+index(split(D48,"":""),2 )))/0.2+1)*$N$3,"""")"),"")</f>
        <v/>
      </c>
      <c r="F48" s="16" t="str">
        <f t="shared" ca="1" si="5"/>
        <v/>
      </c>
      <c r="G48" s="16"/>
      <c r="H48" s="22" t="str">
        <f ca="1">IFERROR(__xludf.dummyfunction("iferror(1000+INT(($N$4-(index(split(G48,"":""),1)*60+index(split(G48,"":""),2 )))/0.2+1)*$N$5,"""")"),"")</f>
        <v/>
      </c>
      <c r="I48" s="16" t="str">
        <f t="shared" ca="1" si="6"/>
        <v/>
      </c>
      <c r="J48" s="16" t="str">
        <f t="shared" si="7"/>
        <v/>
      </c>
      <c r="K48" s="16" t="str">
        <f t="shared" si="8"/>
        <v/>
      </c>
      <c r="L48" s="16"/>
    </row>
    <row r="49" spans="1:12" ht="14.5" x14ac:dyDescent="0.35">
      <c r="A49" s="16"/>
      <c r="B49" s="16"/>
      <c r="C49" s="16"/>
      <c r="D49" s="16"/>
      <c r="E49" s="22" t="str">
        <f ca="1">IFERROR(__xludf.dummyfunction("iferror(1000+INT(($N$2-(index(split(D49,"":""),1)*60+index(split(D49,"":""),2 )))/0.2+1)*$N$3,"""")"),"")</f>
        <v/>
      </c>
      <c r="F49" s="16" t="str">
        <f t="shared" ca="1" si="5"/>
        <v/>
      </c>
      <c r="G49" s="16"/>
      <c r="H49" s="22" t="str">
        <f ca="1">IFERROR(__xludf.dummyfunction("iferror(1000+INT(($N$4-(index(split(G49,"":""),1)*60+index(split(G49,"":""),2 )))/0.2+1)*$N$5,"""")"),"")</f>
        <v/>
      </c>
      <c r="I49" s="16" t="str">
        <f t="shared" ca="1" si="6"/>
        <v/>
      </c>
      <c r="J49" s="16" t="str">
        <f t="shared" si="7"/>
        <v/>
      </c>
      <c r="K49" s="16" t="str">
        <f t="shared" si="8"/>
        <v/>
      </c>
      <c r="L49" s="16"/>
    </row>
    <row r="50" spans="1:12" ht="14.5" x14ac:dyDescent="0.35">
      <c r="A50" s="16"/>
      <c r="B50" s="16"/>
      <c r="C50" s="16"/>
      <c r="D50" s="16"/>
      <c r="E50" s="22" t="str">
        <f ca="1">IFERROR(__xludf.dummyfunction("iferror(1000+INT(($N$2-(index(split(D50,"":""),1)*60+index(split(D50,"":""),2 )))/0.2+1)*$N$3,"""")"),"")</f>
        <v/>
      </c>
      <c r="F50" s="16" t="str">
        <f t="shared" ca="1" si="5"/>
        <v/>
      </c>
      <c r="G50" s="16"/>
      <c r="H50" s="22" t="str">
        <f ca="1">IFERROR(__xludf.dummyfunction("iferror(1000+INT(($N$4-(index(split(G50,"":""),1)*60+index(split(G50,"":""),2 )))/0.2+1)*$N$5,"""")"),"")</f>
        <v/>
      </c>
      <c r="I50" s="16" t="str">
        <f t="shared" ca="1" si="6"/>
        <v/>
      </c>
      <c r="J50" s="16" t="str">
        <f t="shared" si="7"/>
        <v/>
      </c>
      <c r="K50" s="16" t="str">
        <f t="shared" si="8"/>
        <v/>
      </c>
      <c r="L50" s="16"/>
    </row>
    <row r="51" spans="1:12" ht="14.5" x14ac:dyDescent="0.35">
      <c r="A51" s="16"/>
      <c r="B51" s="16"/>
      <c r="C51" s="16"/>
      <c r="D51" s="16"/>
      <c r="E51" s="22" t="str">
        <f ca="1">IFERROR(__xludf.dummyfunction("iferror(1000+INT(($N$2-(index(split(D51,"":""),1)*60+index(split(D51,"":""),2 )))/0.2+1)*$N$3,"""")"),"")</f>
        <v/>
      </c>
      <c r="F51" s="16" t="str">
        <f t="shared" ca="1" si="5"/>
        <v/>
      </c>
      <c r="G51" s="16"/>
      <c r="H51" s="22" t="str">
        <f ca="1">IFERROR(__xludf.dummyfunction("iferror(1000+INT(($N$4-(index(split(G51,"":""),1)*60+index(split(G51,"":""),2 )))/0.2+1)*$N$5,"""")"),"")</f>
        <v/>
      </c>
      <c r="I51" s="16" t="str">
        <f t="shared" ca="1" si="6"/>
        <v/>
      </c>
      <c r="J51" s="16" t="str">
        <f t="shared" si="7"/>
        <v/>
      </c>
      <c r="K51" s="16" t="str">
        <f t="shared" si="8"/>
        <v/>
      </c>
      <c r="L51" s="16"/>
    </row>
    <row r="52" spans="1:12" ht="14.5" x14ac:dyDescent="0.35">
      <c r="A52" s="16"/>
      <c r="B52" s="16"/>
      <c r="C52" s="16"/>
      <c r="D52" s="16"/>
      <c r="E52" s="22" t="str">
        <f ca="1">IFERROR(__xludf.dummyfunction("iferror(1000+INT(($N$2-(index(split(D52,"":""),1)*60+index(split(D52,"":""),2 )))/0.2+1)*$N$3,"""")"),"")</f>
        <v/>
      </c>
      <c r="F52" s="16" t="str">
        <f t="shared" ca="1" si="5"/>
        <v/>
      </c>
      <c r="G52" s="16"/>
      <c r="H52" s="22" t="str">
        <f ca="1">IFERROR(__xludf.dummyfunction("iferror(1000+INT(($N$4-(index(split(G52,"":""),1)*60+index(split(G52,"":""),2 )))/0.2+1)*$N$5,"""")"),"")</f>
        <v/>
      </c>
      <c r="I52" s="16" t="str">
        <f t="shared" ca="1" si="6"/>
        <v/>
      </c>
      <c r="J52" s="16" t="str">
        <f t="shared" si="7"/>
        <v/>
      </c>
      <c r="K52" s="16" t="str">
        <f t="shared" si="8"/>
        <v/>
      </c>
      <c r="L52" s="16"/>
    </row>
    <row r="53" spans="1:12" ht="14.5" x14ac:dyDescent="0.35">
      <c r="A53" s="16"/>
      <c r="B53" s="16"/>
      <c r="C53" s="16"/>
      <c r="D53" s="16"/>
      <c r="E53" s="22" t="str">
        <f ca="1">IFERROR(__xludf.dummyfunction("iferror(1000+INT(($N$2-(index(split(D53,"":""),1)*60+index(split(D53,"":""),2 )))/0.2+1)*$N$3,"""")"),"")</f>
        <v/>
      </c>
      <c r="F53" s="16" t="str">
        <f t="shared" ca="1" si="5"/>
        <v/>
      </c>
      <c r="G53" s="16"/>
      <c r="H53" s="22" t="str">
        <f ca="1">IFERROR(__xludf.dummyfunction("iferror(1000+INT(($N$4-(index(split(G53,"":""),1)*60+index(split(G53,"":""),2 )))/0.2+1)*$N$5,"""")"),"")</f>
        <v/>
      </c>
      <c r="I53" s="16" t="str">
        <f t="shared" ca="1" si="6"/>
        <v/>
      </c>
      <c r="J53" s="16" t="str">
        <f t="shared" si="7"/>
        <v/>
      </c>
      <c r="K53" s="16" t="str">
        <f t="shared" si="8"/>
        <v/>
      </c>
      <c r="L53" s="16"/>
    </row>
    <row r="54" spans="1:12" ht="14.5" x14ac:dyDescent="0.35">
      <c r="A54" s="16"/>
      <c r="B54" s="16"/>
      <c r="C54" s="16"/>
      <c r="D54" s="16"/>
      <c r="E54" s="22" t="str">
        <f ca="1">IFERROR(__xludf.dummyfunction("iferror(1000+INT(($N$2-(index(split(D54,"":""),1)*60+index(split(D54,"":""),2 )))/0.2+1)*$N$3,"""")"),"")</f>
        <v/>
      </c>
      <c r="F54" s="16" t="str">
        <f t="shared" ca="1" si="5"/>
        <v/>
      </c>
      <c r="G54" s="16"/>
      <c r="H54" s="22" t="str">
        <f ca="1">IFERROR(__xludf.dummyfunction("iferror(1000+INT(($N$4-(index(split(G54,"":""),1)*60+index(split(G54,"":""),2 )))/0.2+1)*$N$5,"""")"),"")</f>
        <v/>
      </c>
      <c r="I54" s="16" t="str">
        <f t="shared" ca="1" si="6"/>
        <v/>
      </c>
      <c r="J54" s="16" t="str">
        <f t="shared" si="7"/>
        <v/>
      </c>
      <c r="K54" s="16" t="str">
        <f t="shared" si="8"/>
        <v/>
      </c>
      <c r="L54" s="16"/>
    </row>
    <row r="55" spans="1:12" ht="14.5" x14ac:dyDescent="0.35">
      <c r="A55" s="16"/>
      <c r="B55" s="16"/>
      <c r="C55" s="16"/>
      <c r="D55" s="16"/>
      <c r="E55" s="22" t="str">
        <f ca="1">IFERROR(__xludf.dummyfunction("iferror(1000+INT(($N$2-(index(split(D55,"":""),1)*60+index(split(D55,"":""),2 )))/0.2+1)*$N$3,"""")"),"")</f>
        <v/>
      </c>
      <c r="F55" s="16" t="str">
        <f t="shared" ca="1" si="5"/>
        <v/>
      </c>
      <c r="G55" s="16"/>
      <c r="H55" s="22" t="str">
        <f ca="1">IFERROR(__xludf.dummyfunction("iferror(1000+INT(($N$4-(index(split(G55,"":""),1)*60+index(split(G55,"":""),2 )))/0.2+1)*$N$5,"""")"),"")</f>
        <v/>
      </c>
      <c r="I55" s="16" t="str">
        <f t="shared" ca="1" si="6"/>
        <v/>
      </c>
      <c r="J55" s="16" t="str">
        <f t="shared" si="7"/>
        <v/>
      </c>
      <c r="K55" s="16" t="str">
        <f t="shared" si="8"/>
        <v/>
      </c>
      <c r="L55" s="16"/>
    </row>
    <row r="56" spans="1:12" ht="14.5" x14ac:dyDescent="0.35">
      <c r="A56" s="16"/>
      <c r="B56" s="16"/>
      <c r="C56" s="16"/>
      <c r="D56" s="16"/>
      <c r="E56" s="22" t="str">
        <f ca="1">IFERROR(__xludf.dummyfunction("iferror(1000+INT(($N$2-(index(split(D56,"":""),1)*60+index(split(D56,"":""),2 )))/0.2+1)*$N$3,"""")"),"")</f>
        <v/>
      </c>
      <c r="F56" s="16" t="str">
        <f t="shared" ca="1" si="5"/>
        <v/>
      </c>
      <c r="G56" s="16"/>
      <c r="H56" s="22" t="str">
        <f ca="1">IFERROR(__xludf.dummyfunction("iferror(1000+INT(($N$4-(index(split(G56,"":""),1)*60+index(split(G56,"":""),2 )))/0.2+1)*$N$5,"""")"),"")</f>
        <v/>
      </c>
      <c r="I56" s="16" t="str">
        <f t="shared" ca="1" si="6"/>
        <v/>
      </c>
      <c r="J56" s="16" t="str">
        <f t="shared" si="7"/>
        <v/>
      </c>
      <c r="K56" s="16" t="str">
        <f t="shared" si="8"/>
        <v/>
      </c>
      <c r="L56" s="16"/>
    </row>
    <row r="57" spans="1:12" ht="14.5" x14ac:dyDescent="0.35">
      <c r="A57" s="16"/>
      <c r="B57" s="16"/>
      <c r="C57" s="16"/>
      <c r="D57" s="16"/>
      <c r="E57" s="22" t="str">
        <f ca="1">IFERROR(__xludf.dummyfunction("iferror(1000+INT(($N$2-(index(split(D57,"":""),1)*60+index(split(D57,"":""),2 )))/0.2+1)*$N$3,"""")"),"")</f>
        <v/>
      </c>
      <c r="F57" s="16" t="str">
        <f t="shared" ca="1" si="5"/>
        <v/>
      </c>
      <c r="G57" s="16"/>
      <c r="H57" s="22" t="str">
        <f ca="1">IFERROR(__xludf.dummyfunction("iferror(1000+INT(($N$4-(index(split(G57,"":""),1)*60+index(split(G57,"":""),2 )))/0.2+1)*$N$5,"""")"),"")</f>
        <v/>
      </c>
      <c r="I57" s="16" t="str">
        <f t="shared" ca="1" si="6"/>
        <v/>
      </c>
      <c r="J57" s="16" t="str">
        <f t="shared" si="7"/>
        <v/>
      </c>
      <c r="K57" s="16" t="str">
        <f t="shared" si="8"/>
        <v/>
      </c>
      <c r="L57" s="16"/>
    </row>
    <row r="58" spans="1:12" ht="14.5" x14ac:dyDescent="0.35">
      <c r="A58" s="16"/>
      <c r="B58" s="16"/>
      <c r="C58" s="16"/>
      <c r="D58" s="16"/>
      <c r="E58" s="22" t="str">
        <f ca="1">IFERROR(__xludf.dummyfunction("iferror(1000+INT(($N$2-(index(split(D58,"":""),1)*60+index(split(D58,"":""),2 )))/0.2+1)*$N$3,"""")"),"")</f>
        <v/>
      </c>
      <c r="F58" s="16" t="str">
        <f t="shared" ca="1" si="5"/>
        <v/>
      </c>
      <c r="G58" s="16"/>
      <c r="H58" s="22" t="str">
        <f ca="1">IFERROR(__xludf.dummyfunction("iferror(1000+INT(($N$4-(index(split(G58,"":""),1)*60+index(split(G58,"":""),2 )))/0.2+1)*$N$5,"""")"),"")</f>
        <v/>
      </c>
      <c r="I58" s="16" t="str">
        <f t="shared" ca="1" si="6"/>
        <v/>
      </c>
      <c r="J58" s="16" t="str">
        <f t="shared" si="7"/>
        <v/>
      </c>
      <c r="K58" s="16" t="str">
        <f t="shared" si="8"/>
        <v/>
      </c>
      <c r="L58" s="16"/>
    </row>
    <row r="59" spans="1:12" ht="14.5" x14ac:dyDescent="0.35">
      <c r="A59" s="16"/>
      <c r="B59" s="16"/>
      <c r="C59" s="16"/>
      <c r="D59" s="16"/>
      <c r="E59" s="22" t="str">
        <f ca="1">IFERROR(__xludf.dummyfunction("iferror(1000+INT(($N$2-(index(split(D59,"":""),1)*60+index(split(D59,"":""),2 )))/0.2+1)*$N$3,"""")"),"")</f>
        <v/>
      </c>
      <c r="F59" s="16" t="str">
        <f t="shared" ca="1" si="5"/>
        <v/>
      </c>
      <c r="G59" s="16"/>
      <c r="H59" s="22" t="str">
        <f ca="1">IFERROR(__xludf.dummyfunction("iferror(1000+INT(($N$4-(index(split(G59,"":""),1)*60+index(split(G59,"":""),2 )))/0.2+1)*$N$5,"""")"),"")</f>
        <v/>
      </c>
      <c r="I59" s="16" t="str">
        <f t="shared" ca="1" si="6"/>
        <v/>
      </c>
      <c r="J59" s="16" t="str">
        <f t="shared" si="7"/>
        <v/>
      </c>
      <c r="K59" s="16" t="str">
        <f t="shared" si="8"/>
        <v/>
      </c>
      <c r="L59" s="16"/>
    </row>
    <row r="60" spans="1:12" ht="14.5" x14ac:dyDescent="0.35">
      <c r="A60" s="16"/>
      <c r="B60" s="16"/>
      <c r="C60" s="16"/>
      <c r="D60" s="16"/>
      <c r="E60" s="22" t="str">
        <f ca="1">IFERROR(__xludf.dummyfunction("iferror(1000+INT(($N$2-(index(split(D60,"":""),1)*60+index(split(D60,"":""),2 )))/0.2+1)*$N$3,"""")"),"")</f>
        <v/>
      </c>
      <c r="F60" s="16" t="str">
        <f t="shared" ca="1" si="5"/>
        <v/>
      </c>
      <c r="G60" s="16"/>
      <c r="H60" s="22" t="str">
        <f ca="1">IFERROR(__xludf.dummyfunction("iferror(1000+INT(($N$4-(index(split(G60,"":""),1)*60+index(split(G60,"":""),2 )))/0.2+1)*$N$5,"""")"),"")</f>
        <v/>
      </c>
      <c r="I60" s="16" t="str">
        <f t="shared" ca="1" si="6"/>
        <v/>
      </c>
      <c r="J60" s="16" t="str">
        <f t="shared" si="7"/>
        <v/>
      </c>
      <c r="K60" s="16" t="str">
        <f t="shared" si="8"/>
        <v/>
      </c>
      <c r="L60" s="16"/>
    </row>
    <row r="61" spans="1:12" ht="14.5" x14ac:dyDescent="0.35">
      <c r="A61" s="16"/>
      <c r="B61" s="16"/>
      <c r="C61" s="16"/>
      <c r="D61" s="16"/>
      <c r="E61" s="22" t="str">
        <f ca="1">IFERROR(__xludf.dummyfunction("iferror(1000+INT(($N$2-(index(split(D61,"":""),1)*60+index(split(D61,"":""),2 )))/0.2+1)*$N$3,"""")"),"")</f>
        <v/>
      </c>
      <c r="F61" s="16" t="str">
        <f t="shared" ca="1" si="5"/>
        <v/>
      </c>
      <c r="G61" s="16"/>
      <c r="H61" s="22" t="str">
        <f ca="1">IFERROR(__xludf.dummyfunction("iferror(1000+INT(($N$4-(index(split(G61,"":""),1)*60+index(split(G61,"":""),2 )))/0.2+1)*$N$5,"""")"),"")</f>
        <v/>
      </c>
      <c r="I61" s="16" t="str">
        <f t="shared" ca="1" si="6"/>
        <v/>
      </c>
      <c r="J61" s="16" t="str">
        <f t="shared" si="7"/>
        <v/>
      </c>
      <c r="K61" s="16" t="str">
        <f t="shared" si="8"/>
        <v/>
      </c>
      <c r="L61" s="16"/>
    </row>
    <row r="62" spans="1:12" ht="14.5" x14ac:dyDescent="0.35">
      <c r="A62" s="16"/>
      <c r="B62" s="16"/>
      <c r="C62" s="16"/>
      <c r="D62" s="16"/>
      <c r="E62" s="22" t="str">
        <f ca="1">IFERROR(__xludf.dummyfunction("iferror(1000+INT(($N$2-(index(split(D62,"":""),1)*60+index(split(D62,"":""),2 )))/0.2+1)*$N$3,"""")"),"")</f>
        <v/>
      </c>
      <c r="F62" s="16" t="str">
        <f t="shared" ca="1" si="5"/>
        <v/>
      </c>
      <c r="G62" s="16"/>
      <c r="H62" s="22" t="str">
        <f ca="1">IFERROR(__xludf.dummyfunction("iferror(1000+INT(($N$4-(index(split(G62,"":""),1)*60+index(split(G62,"":""),2 )))/0.2+1)*$N$5,"""")"),"")</f>
        <v/>
      </c>
      <c r="I62" s="16" t="str">
        <f t="shared" ca="1" si="6"/>
        <v/>
      </c>
      <c r="J62" s="16" t="str">
        <f t="shared" si="7"/>
        <v/>
      </c>
      <c r="K62" s="16" t="str">
        <f t="shared" si="8"/>
        <v/>
      </c>
      <c r="L62" s="16"/>
    </row>
    <row r="63" spans="1:12" ht="14.5" x14ac:dyDescent="0.35">
      <c r="A63" s="16"/>
      <c r="B63" s="16"/>
      <c r="C63" s="16"/>
      <c r="D63" s="16"/>
      <c r="E63" s="22" t="str">
        <f ca="1">IFERROR(__xludf.dummyfunction("iferror(1000+INT(($N$2-(index(split(D63,"":""),1)*60+index(split(D63,"":""),2 )))/0.2+1)*$N$3,"""")"),"")</f>
        <v/>
      </c>
      <c r="F63" s="16" t="str">
        <f t="shared" ca="1" si="5"/>
        <v/>
      </c>
      <c r="G63" s="16"/>
      <c r="H63" s="22" t="str">
        <f ca="1">IFERROR(__xludf.dummyfunction("iferror(1000+INT(($N$4-(index(split(G63,"":""),1)*60+index(split(G63,"":""),2 )))/0.2+1)*$N$5,"""")"),"")</f>
        <v/>
      </c>
      <c r="I63" s="16" t="str">
        <f t="shared" ca="1" si="6"/>
        <v/>
      </c>
      <c r="J63" s="16" t="str">
        <f t="shared" si="7"/>
        <v/>
      </c>
      <c r="K63" s="16" t="str">
        <f t="shared" si="8"/>
        <v/>
      </c>
      <c r="L63" s="16"/>
    </row>
    <row r="64" spans="1:12" ht="14.5" x14ac:dyDescent="0.35">
      <c r="A64" s="16"/>
      <c r="B64" s="16"/>
      <c r="C64" s="16"/>
      <c r="D64" s="16"/>
      <c r="E64" s="22" t="str">
        <f ca="1">IFERROR(__xludf.dummyfunction("iferror(1000+INT(($N$2-(index(split(D64,"":""),1)*60+index(split(D64,"":""),2 )))/0.2+1)*$N$3,"""")"),"")</f>
        <v/>
      </c>
      <c r="F64" s="16" t="str">
        <f t="shared" ca="1" si="5"/>
        <v/>
      </c>
      <c r="G64" s="16"/>
      <c r="H64" s="22" t="str">
        <f ca="1">IFERROR(__xludf.dummyfunction("iferror(1000+INT(($N$4-(index(split(G64,"":""),1)*60+index(split(G64,"":""),2 )))/0.2+1)*$N$5,"""")"),"")</f>
        <v/>
      </c>
      <c r="I64" s="16" t="str">
        <f t="shared" ca="1" si="6"/>
        <v/>
      </c>
      <c r="J64" s="16" t="str">
        <f t="shared" si="7"/>
        <v/>
      </c>
      <c r="K64" s="16" t="str">
        <f t="shared" si="8"/>
        <v/>
      </c>
      <c r="L64" s="16"/>
    </row>
    <row r="65" spans="1:12" ht="14.5" x14ac:dyDescent="0.35">
      <c r="A65" s="16"/>
      <c r="B65" s="16"/>
      <c r="C65" s="16"/>
      <c r="D65" s="16"/>
      <c r="E65" s="22" t="str">
        <f ca="1">IFERROR(__xludf.dummyfunction("iferror(1000+INT(($N$2-(index(split(D65,"":""),1)*60+index(split(D65,"":""),2 )))/0.2+1)*$N$3,"""")"),"")</f>
        <v/>
      </c>
      <c r="F65" s="16" t="str">
        <f t="shared" ca="1" si="5"/>
        <v/>
      </c>
      <c r="G65" s="16"/>
      <c r="H65" s="22" t="str">
        <f ca="1">IFERROR(__xludf.dummyfunction("iferror(1000+INT(($N$4-(index(split(G65,"":""),1)*60+index(split(G65,"":""),2 )))/0.2+1)*$N$5,"""")"),"")</f>
        <v/>
      </c>
      <c r="I65" s="16" t="str">
        <f t="shared" ca="1" si="6"/>
        <v/>
      </c>
      <c r="J65" s="16" t="str">
        <f t="shared" si="7"/>
        <v/>
      </c>
      <c r="K65" s="16" t="str">
        <f t="shared" si="8"/>
        <v/>
      </c>
      <c r="L65" s="16"/>
    </row>
    <row r="66" spans="1:12" ht="14.5" x14ac:dyDescent="0.35">
      <c r="A66" s="16"/>
      <c r="B66" s="16"/>
      <c r="C66" s="16"/>
      <c r="D66" s="16"/>
      <c r="E66" s="22" t="str">
        <f ca="1">IFERROR(__xludf.dummyfunction("iferror(1000+INT(($N$2-(index(split(D66,"":""),1)*60+index(split(D66,"":""),2 )))/0.2+1)*$N$3,"""")"),"")</f>
        <v/>
      </c>
      <c r="F66" s="16" t="str">
        <f t="shared" ref="F66:F97" ca="1" si="9">IFERROR(_xlfn.RANK.EQ(E66,E:E),"")</f>
        <v/>
      </c>
      <c r="G66" s="16"/>
      <c r="H66" s="22" t="str">
        <f ca="1">IFERROR(__xludf.dummyfunction("iferror(1000+INT(($N$4-(index(split(G66,"":""),1)*60+index(split(G66,"":""),2 )))/0.2+1)*$N$5,"""")"),"")</f>
        <v/>
      </c>
      <c r="I66" s="16" t="str">
        <f t="shared" ref="I66:I97" ca="1" si="10">IFERROR(_xlfn.RANK.EQ(H66,H:H),"")</f>
        <v/>
      </c>
      <c r="J66" s="16" t="str">
        <f t="shared" ref="J66:J100" si="11">IF(AND(D66="", G66=""), "", E66+H66)</f>
        <v/>
      </c>
      <c r="K66" s="16" t="str">
        <f t="shared" ref="K66:K97" si="12">IFERROR(_xlfn.RANK.EQ(J66,J:J),"")</f>
        <v/>
      </c>
      <c r="L66" s="16"/>
    </row>
    <row r="67" spans="1:12" ht="14.5" x14ac:dyDescent="0.35">
      <c r="A67" s="16"/>
      <c r="B67" s="16"/>
      <c r="C67" s="16"/>
      <c r="D67" s="16"/>
      <c r="E67" s="22" t="str">
        <f ca="1">IFERROR(__xludf.dummyfunction("iferror(1000+INT(($N$2-(index(split(D67,"":""),1)*60+index(split(D67,"":""),2 )))/0.2+1)*$N$3,"""")"),"")</f>
        <v/>
      </c>
      <c r="F67" s="16" t="str">
        <f t="shared" ca="1" si="9"/>
        <v/>
      </c>
      <c r="G67" s="16"/>
      <c r="H67" s="22" t="str">
        <f ca="1">IFERROR(__xludf.dummyfunction("iferror(1000+INT(($N$4-(index(split(G67,"":""),1)*60+index(split(G67,"":""),2 )))/0.2+1)*$N$5,"""")"),"")</f>
        <v/>
      </c>
      <c r="I67" s="16" t="str">
        <f t="shared" ca="1" si="10"/>
        <v/>
      </c>
      <c r="J67" s="16" t="str">
        <f t="shared" si="11"/>
        <v/>
      </c>
      <c r="K67" s="16" t="str">
        <f t="shared" si="12"/>
        <v/>
      </c>
      <c r="L67" s="16"/>
    </row>
    <row r="68" spans="1:12" ht="14.5" x14ac:dyDescent="0.35">
      <c r="A68" s="16"/>
      <c r="B68" s="16"/>
      <c r="C68" s="16"/>
      <c r="D68" s="16"/>
      <c r="E68" s="22" t="str">
        <f ca="1">IFERROR(__xludf.dummyfunction("iferror(1000+INT(($N$2-(index(split(D68,"":""),1)*60+index(split(D68,"":""),2 )))/0.2+1)*$N$3,"""")"),"")</f>
        <v/>
      </c>
      <c r="F68" s="16" t="str">
        <f t="shared" ca="1" si="9"/>
        <v/>
      </c>
      <c r="G68" s="16"/>
      <c r="H68" s="22" t="str">
        <f ca="1">IFERROR(__xludf.dummyfunction("iferror(1000+INT(($N$4-(index(split(G68,"":""),1)*60+index(split(G68,"":""),2 )))/0.2+1)*$N$5,"""")"),"")</f>
        <v/>
      </c>
      <c r="I68" s="16" t="str">
        <f t="shared" ca="1" si="10"/>
        <v/>
      </c>
      <c r="J68" s="16" t="str">
        <f t="shared" si="11"/>
        <v/>
      </c>
      <c r="K68" s="16" t="str">
        <f t="shared" si="12"/>
        <v/>
      </c>
      <c r="L68" s="16"/>
    </row>
    <row r="69" spans="1:12" ht="14.5" x14ac:dyDescent="0.35">
      <c r="A69" s="16"/>
      <c r="B69" s="16"/>
      <c r="C69" s="16"/>
      <c r="D69" s="16"/>
      <c r="E69" s="22" t="str">
        <f ca="1">IFERROR(__xludf.dummyfunction("iferror(1000+INT(($N$2-(index(split(D69,"":""),1)*60+index(split(D69,"":""),2 )))/0.2+1)*$N$3,"""")"),"")</f>
        <v/>
      </c>
      <c r="F69" s="16" t="str">
        <f t="shared" ca="1" si="9"/>
        <v/>
      </c>
      <c r="G69" s="16"/>
      <c r="H69" s="22" t="str">
        <f ca="1">IFERROR(__xludf.dummyfunction("iferror(1000+INT(($N$4-(index(split(G69,"":""),1)*60+index(split(G69,"":""),2 )))/0.2+1)*$N$5,"""")"),"")</f>
        <v/>
      </c>
      <c r="I69" s="16" t="str">
        <f t="shared" ca="1" si="10"/>
        <v/>
      </c>
      <c r="J69" s="16" t="str">
        <f t="shared" si="11"/>
        <v/>
      </c>
      <c r="K69" s="16" t="str">
        <f t="shared" si="12"/>
        <v/>
      </c>
      <c r="L69" s="16"/>
    </row>
    <row r="70" spans="1:12" ht="14.5" x14ac:dyDescent="0.35">
      <c r="A70" s="16"/>
      <c r="B70" s="16"/>
      <c r="C70" s="16"/>
      <c r="D70" s="16"/>
      <c r="E70" s="22" t="str">
        <f ca="1">IFERROR(__xludf.dummyfunction("iferror(1000+INT(($N$2-(index(split(D70,"":""),1)*60+index(split(D70,"":""),2 )))/0.2+1)*$N$3,"""")"),"")</f>
        <v/>
      </c>
      <c r="F70" s="16" t="str">
        <f t="shared" ca="1" si="9"/>
        <v/>
      </c>
      <c r="G70" s="16"/>
      <c r="H70" s="22" t="str">
        <f ca="1">IFERROR(__xludf.dummyfunction("iferror(1000+INT(($N$4-(index(split(G70,"":""),1)*60+index(split(G70,"":""),2 )))/0.2+1)*$N$5,"""")"),"")</f>
        <v/>
      </c>
      <c r="I70" s="16" t="str">
        <f t="shared" ca="1" si="10"/>
        <v/>
      </c>
      <c r="J70" s="16" t="str">
        <f t="shared" si="11"/>
        <v/>
      </c>
      <c r="K70" s="16" t="str">
        <f t="shared" si="12"/>
        <v/>
      </c>
      <c r="L70" s="16"/>
    </row>
    <row r="71" spans="1:12" ht="14.5" x14ac:dyDescent="0.35">
      <c r="A71" s="16"/>
      <c r="B71" s="16"/>
      <c r="C71" s="16"/>
      <c r="D71" s="16"/>
      <c r="E71" s="22" t="str">
        <f ca="1">IFERROR(__xludf.dummyfunction("iferror(1000+INT(($N$2-(index(split(D71,"":""),1)*60+index(split(D71,"":""),2 )))/0.2+1)*$N$3,"""")"),"")</f>
        <v/>
      </c>
      <c r="F71" s="16" t="str">
        <f t="shared" ca="1" si="9"/>
        <v/>
      </c>
      <c r="G71" s="16"/>
      <c r="H71" s="22" t="str">
        <f ca="1">IFERROR(__xludf.dummyfunction("iferror(1000+INT(($N$4-(index(split(G71,"":""),1)*60+index(split(G71,"":""),2 )))/0.2+1)*$N$5,"""")"),"")</f>
        <v/>
      </c>
      <c r="I71" s="16" t="str">
        <f t="shared" ca="1" si="10"/>
        <v/>
      </c>
      <c r="J71" s="16" t="str">
        <f t="shared" si="11"/>
        <v/>
      </c>
      <c r="K71" s="16" t="str">
        <f t="shared" si="12"/>
        <v/>
      </c>
      <c r="L71" s="16"/>
    </row>
    <row r="72" spans="1:12" ht="14.5" x14ac:dyDescent="0.35">
      <c r="A72" s="16"/>
      <c r="B72" s="16"/>
      <c r="C72" s="16"/>
      <c r="D72" s="16"/>
      <c r="E72" s="22" t="str">
        <f ca="1">IFERROR(__xludf.dummyfunction("iferror(1000+INT(($N$2-(index(split(D72,"":""),1)*60+index(split(D72,"":""),2 )))/0.2+1)*$N$3,"""")"),"")</f>
        <v/>
      </c>
      <c r="F72" s="16" t="str">
        <f t="shared" ca="1" si="9"/>
        <v/>
      </c>
      <c r="G72" s="16"/>
      <c r="H72" s="22" t="str">
        <f ca="1">IFERROR(__xludf.dummyfunction("iferror(1000+INT(($N$4-(index(split(G72,"":""),1)*60+index(split(G72,"":""),2 )))/0.2+1)*$N$5,"""")"),"")</f>
        <v/>
      </c>
      <c r="I72" s="16" t="str">
        <f t="shared" ca="1" si="10"/>
        <v/>
      </c>
      <c r="J72" s="16" t="str">
        <f t="shared" si="11"/>
        <v/>
      </c>
      <c r="K72" s="16" t="str">
        <f t="shared" si="12"/>
        <v/>
      </c>
      <c r="L72" s="16"/>
    </row>
    <row r="73" spans="1:12" ht="14.5" x14ac:dyDescent="0.35">
      <c r="A73" s="16"/>
      <c r="B73" s="16"/>
      <c r="C73" s="16"/>
      <c r="D73" s="16"/>
      <c r="E73" s="22" t="str">
        <f ca="1">IFERROR(__xludf.dummyfunction("iferror(1000+INT(($N$2-(index(split(D73,"":""),1)*60+index(split(D73,"":""),2 )))/0.2+1)*$N$3,"""")"),"")</f>
        <v/>
      </c>
      <c r="F73" s="16" t="str">
        <f t="shared" ca="1" si="9"/>
        <v/>
      </c>
      <c r="G73" s="16"/>
      <c r="H73" s="22" t="str">
        <f ca="1">IFERROR(__xludf.dummyfunction("iferror(1000+INT(($N$4-(index(split(G73,"":""),1)*60+index(split(G73,"":""),2 )))/0.2+1)*$N$5,"""")"),"")</f>
        <v/>
      </c>
      <c r="I73" s="16" t="str">
        <f t="shared" ca="1" si="10"/>
        <v/>
      </c>
      <c r="J73" s="16" t="str">
        <f t="shared" si="11"/>
        <v/>
      </c>
      <c r="K73" s="16" t="str">
        <f t="shared" si="12"/>
        <v/>
      </c>
      <c r="L73" s="16"/>
    </row>
    <row r="74" spans="1:12" ht="14.5" x14ac:dyDescent="0.35">
      <c r="A74" s="16"/>
      <c r="B74" s="16"/>
      <c r="C74" s="16"/>
      <c r="D74" s="16"/>
      <c r="E74" s="22" t="str">
        <f ca="1">IFERROR(__xludf.dummyfunction("iferror(1000+INT(($N$2-(index(split(D74,"":""),1)*60+index(split(D74,"":""),2 )))/0.2+1)*$N$3,"""")"),"")</f>
        <v/>
      </c>
      <c r="F74" s="16" t="str">
        <f t="shared" ca="1" si="9"/>
        <v/>
      </c>
      <c r="G74" s="16"/>
      <c r="H74" s="22" t="str">
        <f ca="1">IFERROR(__xludf.dummyfunction("iferror(1000+INT(($N$4-(index(split(G74,"":""),1)*60+index(split(G74,"":""),2 )))/0.2+1)*$N$5,"""")"),"")</f>
        <v/>
      </c>
      <c r="I74" s="16" t="str">
        <f t="shared" ca="1" si="10"/>
        <v/>
      </c>
      <c r="J74" s="16" t="str">
        <f t="shared" si="11"/>
        <v/>
      </c>
      <c r="K74" s="16" t="str">
        <f t="shared" si="12"/>
        <v/>
      </c>
      <c r="L74" s="16"/>
    </row>
    <row r="75" spans="1:12" ht="14.5" x14ac:dyDescent="0.35">
      <c r="A75" s="16"/>
      <c r="B75" s="16"/>
      <c r="C75" s="16"/>
      <c r="D75" s="16"/>
      <c r="E75" s="22" t="str">
        <f ca="1">IFERROR(__xludf.dummyfunction("iferror(1000+INT(($N$2-(index(split(D75,"":""),1)*60+index(split(D75,"":""),2 )))/0.2+1)*$N$3,"""")"),"")</f>
        <v/>
      </c>
      <c r="F75" s="16" t="str">
        <f t="shared" ca="1" si="9"/>
        <v/>
      </c>
      <c r="G75" s="16"/>
      <c r="H75" s="22" t="str">
        <f ca="1">IFERROR(__xludf.dummyfunction("iferror(1000+INT(($N$4-(index(split(G75,"":""),1)*60+index(split(G75,"":""),2 )))/0.2+1)*$N$5,"""")"),"")</f>
        <v/>
      </c>
      <c r="I75" s="16" t="str">
        <f t="shared" ca="1" si="10"/>
        <v/>
      </c>
      <c r="J75" s="16" t="str">
        <f t="shared" si="11"/>
        <v/>
      </c>
      <c r="K75" s="16" t="str">
        <f t="shared" si="12"/>
        <v/>
      </c>
      <c r="L75" s="16"/>
    </row>
    <row r="76" spans="1:12" ht="14.5" x14ac:dyDescent="0.35">
      <c r="A76" s="16"/>
      <c r="B76" s="16"/>
      <c r="C76" s="16"/>
      <c r="D76" s="16"/>
      <c r="E76" s="22" t="str">
        <f ca="1">IFERROR(__xludf.dummyfunction("iferror(1000+INT(($N$2-(index(split(D76,"":""),1)*60+index(split(D76,"":""),2 )))/0.2+1)*$N$3,"""")"),"")</f>
        <v/>
      </c>
      <c r="F76" s="16" t="str">
        <f t="shared" ca="1" si="9"/>
        <v/>
      </c>
      <c r="G76" s="16"/>
      <c r="H76" s="22" t="str">
        <f ca="1">IFERROR(__xludf.dummyfunction("iferror(1000+INT(($N$4-(index(split(G76,"":""),1)*60+index(split(G76,"":""),2 )))/0.2+1)*$N$5,"""")"),"")</f>
        <v/>
      </c>
      <c r="I76" s="16" t="str">
        <f t="shared" ca="1" si="10"/>
        <v/>
      </c>
      <c r="J76" s="16" t="str">
        <f t="shared" si="11"/>
        <v/>
      </c>
      <c r="K76" s="16" t="str">
        <f t="shared" si="12"/>
        <v/>
      </c>
      <c r="L76" s="16"/>
    </row>
    <row r="77" spans="1:12" ht="14.5" x14ac:dyDescent="0.35">
      <c r="A77" s="16"/>
      <c r="B77" s="16"/>
      <c r="C77" s="16"/>
      <c r="D77" s="16"/>
      <c r="E77" s="22" t="str">
        <f ca="1">IFERROR(__xludf.dummyfunction("iferror(1000+INT(($N$2-(index(split(D77,"":""),1)*60+index(split(D77,"":""),2 )))/0.2+1)*$N$3,"""")"),"")</f>
        <v/>
      </c>
      <c r="F77" s="16" t="str">
        <f t="shared" ca="1" si="9"/>
        <v/>
      </c>
      <c r="G77" s="16"/>
      <c r="H77" s="22" t="str">
        <f ca="1">IFERROR(__xludf.dummyfunction("iferror(1000+INT(($N$4-(index(split(G77,"":""),1)*60+index(split(G77,"":""),2 )))/0.2+1)*$N$5,"""")"),"")</f>
        <v/>
      </c>
      <c r="I77" s="16" t="str">
        <f t="shared" ca="1" si="10"/>
        <v/>
      </c>
      <c r="J77" s="16" t="str">
        <f t="shared" si="11"/>
        <v/>
      </c>
      <c r="K77" s="16" t="str">
        <f t="shared" si="12"/>
        <v/>
      </c>
      <c r="L77" s="16"/>
    </row>
    <row r="78" spans="1:12" ht="14.5" x14ac:dyDescent="0.35">
      <c r="A78" s="16"/>
      <c r="B78" s="16"/>
      <c r="C78" s="16"/>
      <c r="D78" s="16"/>
      <c r="E78" s="22" t="str">
        <f ca="1">IFERROR(__xludf.dummyfunction("iferror(1000+INT(($N$2-(index(split(D78,"":""),1)*60+index(split(D78,"":""),2 )))/0.2+1)*$N$3,"""")"),"")</f>
        <v/>
      </c>
      <c r="F78" s="16" t="str">
        <f t="shared" ca="1" si="9"/>
        <v/>
      </c>
      <c r="G78" s="16"/>
      <c r="H78" s="22" t="str">
        <f ca="1">IFERROR(__xludf.dummyfunction("iferror(1000+INT(($N$4-(index(split(G78,"":""),1)*60+index(split(G78,"":""),2 )))/0.2+1)*$N$5,"""")"),"")</f>
        <v/>
      </c>
      <c r="I78" s="16" t="str">
        <f t="shared" ca="1" si="10"/>
        <v/>
      </c>
      <c r="J78" s="16" t="str">
        <f t="shared" si="11"/>
        <v/>
      </c>
      <c r="K78" s="16" t="str">
        <f t="shared" si="12"/>
        <v/>
      </c>
      <c r="L78" s="16"/>
    </row>
    <row r="79" spans="1:12" ht="14.5" x14ac:dyDescent="0.35">
      <c r="A79" s="16"/>
      <c r="B79" s="16"/>
      <c r="C79" s="16"/>
      <c r="D79" s="16"/>
      <c r="E79" s="22" t="str">
        <f ca="1">IFERROR(__xludf.dummyfunction("iferror(1000+INT(($N$2-(index(split(D79,"":""),1)*60+index(split(D79,"":""),2 )))/0.2+1)*$N$3,"""")"),"")</f>
        <v/>
      </c>
      <c r="F79" s="16" t="str">
        <f t="shared" ca="1" si="9"/>
        <v/>
      </c>
      <c r="G79" s="16"/>
      <c r="H79" s="22" t="str">
        <f ca="1">IFERROR(__xludf.dummyfunction("iferror(1000+INT(($N$4-(index(split(G79,"":""),1)*60+index(split(G79,"":""),2 )))/0.2+1)*$N$5,"""")"),"")</f>
        <v/>
      </c>
      <c r="I79" s="16" t="str">
        <f t="shared" ca="1" si="10"/>
        <v/>
      </c>
      <c r="J79" s="16" t="str">
        <f t="shared" si="11"/>
        <v/>
      </c>
      <c r="K79" s="16" t="str">
        <f t="shared" si="12"/>
        <v/>
      </c>
      <c r="L79" s="16"/>
    </row>
    <row r="80" spans="1:12" ht="14.5" x14ac:dyDescent="0.35">
      <c r="A80" s="16"/>
      <c r="B80" s="16"/>
      <c r="C80" s="16"/>
      <c r="D80" s="16"/>
      <c r="E80" s="22" t="str">
        <f ca="1">IFERROR(__xludf.dummyfunction("iferror(1000+INT(($N$2-(index(split(D80,"":""),1)*60+index(split(D80,"":""),2 )))/0.2+1)*$N$3,"""")"),"")</f>
        <v/>
      </c>
      <c r="F80" s="16" t="str">
        <f t="shared" ca="1" si="9"/>
        <v/>
      </c>
      <c r="G80" s="16"/>
      <c r="H80" s="22" t="str">
        <f ca="1">IFERROR(__xludf.dummyfunction("iferror(1000+INT(($N$4-(index(split(G80,"":""),1)*60+index(split(G80,"":""),2 )))/0.2+1)*$N$5,"""")"),"")</f>
        <v/>
      </c>
      <c r="I80" s="16" t="str">
        <f t="shared" ca="1" si="10"/>
        <v/>
      </c>
      <c r="J80" s="16" t="str">
        <f t="shared" si="11"/>
        <v/>
      </c>
      <c r="K80" s="16" t="str">
        <f t="shared" si="12"/>
        <v/>
      </c>
      <c r="L80" s="16"/>
    </row>
    <row r="81" spans="1:12" ht="14.5" x14ac:dyDescent="0.35">
      <c r="A81" s="16"/>
      <c r="B81" s="16"/>
      <c r="C81" s="16"/>
      <c r="D81" s="16"/>
      <c r="E81" s="22" t="str">
        <f ca="1">IFERROR(__xludf.dummyfunction("iferror(1000+INT(($N$2-(index(split(D81,"":""),1)*60+index(split(D81,"":""),2 )))/0.2+1)*$N$3,"""")"),"")</f>
        <v/>
      </c>
      <c r="F81" s="16" t="str">
        <f t="shared" ca="1" si="9"/>
        <v/>
      </c>
      <c r="G81" s="16"/>
      <c r="H81" s="22" t="str">
        <f ca="1">IFERROR(__xludf.dummyfunction("iferror(1000+INT(($N$4-(index(split(G81,"":""),1)*60+index(split(G81,"":""),2 )))/0.2+1)*$N$5,"""")"),"")</f>
        <v/>
      </c>
      <c r="I81" s="16" t="str">
        <f t="shared" ca="1" si="10"/>
        <v/>
      </c>
      <c r="J81" s="16" t="str">
        <f t="shared" si="11"/>
        <v/>
      </c>
      <c r="K81" s="16" t="str">
        <f t="shared" si="12"/>
        <v/>
      </c>
      <c r="L81" s="16"/>
    </row>
    <row r="82" spans="1:12" ht="14.5" x14ac:dyDescent="0.35">
      <c r="A82" s="16"/>
      <c r="B82" s="16"/>
      <c r="C82" s="16"/>
      <c r="D82" s="16"/>
      <c r="E82" s="22" t="str">
        <f ca="1">IFERROR(__xludf.dummyfunction("iferror(1000+INT(($N$2-(index(split(D82,"":""),1)*60+index(split(D82,"":""),2 )))/0.2+1)*$N$3,"""")"),"")</f>
        <v/>
      </c>
      <c r="F82" s="16" t="str">
        <f t="shared" ca="1" si="9"/>
        <v/>
      </c>
      <c r="G82" s="16"/>
      <c r="H82" s="22" t="str">
        <f ca="1">IFERROR(__xludf.dummyfunction("iferror(1000+INT(($N$4-(index(split(G82,"":""),1)*60+index(split(G82,"":""),2 )))/0.2+1)*$N$5,"""")"),"")</f>
        <v/>
      </c>
      <c r="I82" s="16" t="str">
        <f t="shared" ca="1" si="10"/>
        <v/>
      </c>
      <c r="J82" s="16" t="str">
        <f t="shared" si="11"/>
        <v/>
      </c>
      <c r="K82" s="16" t="str">
        <f t="shared" si="12"/>
        <v/>
      </c>
      <c r="L82" s="16"/>
    </row>
    <row r="83" spans="1:12" ht="14.5" x14ac:dyDescent="0.35">
      <c r="A83" s="16"/>
      <c r="B83" s="16"/>
      <c r="C83" s="16"/>
      <c r="D83" s="16"/>
      <c r="E83" s="22" t="str">
        <f ca="1">IFERROR(__xludf.dummyfunction("iferror(1000+INT(($N$2-(index(split(D83,"":""),1)*60+index(split(D83,"":""),2 )))/0.2+1)*$N$3,"""")"),"")</f>
        <v/>
      </c>
      <c r="F83" s="16" t="str">
        <f t="shared" ca="1" si="9"/>
        <v/>
      </c>
      <c r="G83" s="16"/>
      <c r="H83" s="22" t="str">
        <f ca="1">IFERROR(__xludf.dummyfunction("iferror(1000+INT(($N$4-(index(split(G83,"":""),1)*60+index(split(G83,"":""),2 )))/0.2+1)*$N$5,"""")"),"")</f>
        <v/>
      </c>
      <c r="I83" s="16" t="str">
        <f t="shared" ca="1" si="10"/>
        <v/>
      </c>
      <c r="J83" s="16" t="str">
        <f t="shared" si="11"/>
        <v/>
      </c>
      <c r="K83" s="16" t="str">
        <f t="shared" si="12"/>
        <v/>
      </c>
      <c r="L83" s="16"/>
    </row>
    <row r="84" spans="1:12" ht="14.5" x14ac:dyDescent="0.35">
      <c r="A84" s="16"/>
      <c r="B84" s="16"/>
      <c r="C84" s="16"/>
      <c r="D84" s="16"/>
      <c r="E84" s="22" t="str">
        <f ca="1">IFERROR(__xludf.dummyfunction("iferror(1000+INT(($N$2-(index(split(D84,"":""),1)*60+index(split(D84,"":""),2 )))/0.2+1)*$N$3,"""")"),"")</f>
        <v/>
      </c>
      <c r="F84" s="16" t="str">
        <f t="shared" ca="1" si="9"/>
        <v/>
      </c>
      <c r="G84" s="16"/>
      <c r="H84" s="22" t="str">
        <f ca="1">IFERROR(__xludf.dummyfunction("iferror(1000+INT(($N$4-(index(split(G84,"":""),1)*60+index(split(G84,"":""),2 )))/0.2+1)*$N$5,"""")"),"")</f>
        <v/>
      </c>
      <c r="I84" s="16" t="str">
        <f t="shared" ca="1" si="10"/>
        <v/>
      </c>
      <c r="J84" s="16" t="str">
        <f t="shared" si="11"/>
        <v/>
      </c>
      <c r="K84" s="16" t="str">
        <f t="shared" si="12"/>
        <v/>
      </c>
      <c r="L84" s="16"/>
    </row>
    <row r="85" spans="1:12" ht="14.5" x14ac:dyDescent="0.35">
      <c r="A85" s="16"/>
      <c r="B85" s="16"/>
      <c r="C85" s="16"/>
      <c r="D85" s="16"/>
      <c r="E85" s="22" t="str">
        <f ca="1">IFERROR(__xludf.dummyfunction("iferror(1000+INT(($N$2-(index(split(D85,"":""),1)*60+index(split(D85,"":""),2 )))/0.2+1)*$N$3,"""")"),"")</f>
        <v/>
      </c>
      <c r="F85" s="16" t="str">
        <f t="shared" ca="1" si="9"/>
        <v/>
      </c>
      <c r="G85" s="16"/>
      <c r="H85" s="22" t="str">
        <f ca="1">IFERROR(__xludf.dummyfunction("iferror(1000+INT(($N$4-(index(split(G85,"":""),1)*60+index(split(G85,"":""),2 )))/0.2+1)*$N$5,"""")"),"")</f>
        <v/>
      </c>
      <c r="I85" s="16" t="str">
        <f t="shared" ca="1" si="10"/>
        <v/>
      </c>
      <c r="J85" s="16" t="str">
        <f t="shared" si="11"/>
        <v/>
      </c>
      <c r="K85" s="16" t="str">
        <f t="shared" si="12"/>
        <v/>
      </c>
      <c r="L85" s="16"/>
    </row>
    <row r="86" spans="1:12" ht="14.5" x14ac:dyDescent="0.35">
      <c r="A86" s="16"/>
      <c r="B86" s="16"/>
      <c r="C86" s="16"/>
      <c r="D86" s="16"/>
      <c r="E86" s="22" t="str">
        <f ca="1">IFERROR(__xludf.dummyfunction("iferror(1000+INT(($N$2-(index(split(D86,"":""),1)*60+index(split(D86,"":""),2 )))/0.2+1)*$N$3,"""")"),"")</f>
        <v/>
      </c>
      <c r="F86" s="16" t="str">
        <f t="shared" ca="1" si="9"/>
        <v/>
      </c>
      <c r="G86" s="16"/>
      <c r="H86" s="22" t="str">
        <f ca="1">IFERROR(__xludf.dummyfunction("iferror(1000+INT(($N$4-(index(split(G86,"":""),1)*60+index(split(G86,"":""),2 )))/0.2+1)*$N$5,"""")"),"")</f>
        <v/>
      </c>
      <c r="I86" s="16" t="str">
        <f t="shared" ca="1" si="10"/>
        <v/>
      </c>
      <c r="J86" s="16" t="str">
        <f t="shared" si="11"/>
        <v/>
      </c>
      <c r="K86" s="16" t="str">
        <f t="shared" si="12"/>
        <v/>
      </c>
      <c r="L86" s="16"/>
    </row>
    <row r="87" spans="1:12" ht="14.5" x14ac:dyDescent="0.35">
      <c r="A87" s="16"/>
      <c r="B87" s="16"/>
      <c r="C87" s="16"/>
      <c r="D87" s="16"/>
      <c r="E87" s="22" t="str">
        <f ca="1">IFERROR(__xludf.dummyfunction("iferror(1000+INT(($N$2-(index(split(D87,"":""),1)*60+index(split(D87,"":""),2 )))/0.2+1)*$N$3,"""")"),"")</f>
        <v/>
      </c>
      <c r="F87" s="16" t="str">
        <f t="shared" ca="1" si="9"/>
        <v/>
      </c>
      <c r="G87" s="16"/>
      <c r="H87" s="22" t="str">
        <f ca="1">IFERROR(__xludf.dummyfunction("iferror(1000+INT(($N$4-(index(split(G87,"":""),1)*60+index(split(G87,"":""),2 )))/0.2+1)*$N$5,"""")"),"")</f>
        <v/>
      </c>
      <c r="I87" s="16" t="str">
        <f t="shared" ca="1" si="10"/>
        <v/>
      </c>
      <c r="J87" s="16" t="str">
        <f t="shared" si="11"/>
        <v/>
      </c>
      <c r="K87" s="16" t="str">
        <f t="shared" si="12"/>
        <v/>
      </c>
      <c r="L87" s="16"/>
    </row>
    <row r="88" spans="1:12" ht="14.5" x14ac:dyDescent="0.35">
      <c r="A88" s="16"/>
      <c r="B88" s="16"/>
      <c r="C88" s="16"/>
      <c r="D88" s="16"/>
      <c r="E88" s="22" t="str">
        <f ca="1">IFERROR(__xludf.dummyfunction("iferror(1000+INT(($N$2-(index(split(D88,"":""),1)*60+index(split(D88,"":""),2 )))/0.2+1)*$N$3,"""")"),"")</f>
        <v/>
      </c>
      <c r="F88" s="16" t="str">
        <f t="shared" ca="1" si="9"/>
        <v/>
      </c>
      <c r="G88" s="16"/>
      <c r="H88" s="22" t="str">
        <f ca="1">IFERROR(__xludf.dummyfunction("iferror(1000+INT(($N$4-(index(split(G88,"":""),1)*60+index(split(G88,"":""),2 )))/0.2+1)*$N$5,"""")"),"")</f>
        <v/>
      </c>
      <c r="I88" s="16" t="str">
        <f t="shared" ca="1" si="10"/>
        <v/>
      </c>
      <c r="J88" s="16" t="str">
        <f t="shared" si="11"/>
        <v/>
      </c>
      <c r="K88" s="16" t="str">
        <f t="shared" si="12"/>
        <v/>
      </c>
      <c r="L88" s="16"/>
    </row>
    <row r="89" spans="1:12" ht="14.5" x14ac:dyDescent="0.35">
      <c r="A89" s="16"/>
      <c r="B89" s="16"/>
      <c r="C89" s="16"/>
      <c r="D89" s="16"/>
      <c r="E89" s="22" t="str">
        <f ca="1">IFERROR(__xludf.dummyfunction("iferror(1000+INT(($N$2-(index(split(D89,"":""),1)*60+index(split(D89,"":""),2 )))/0.2+1)*$N$3,"""")"),"")</f>
        <v/>
      </c>
      <c r="F89" s="16" t="str">
        <f t="shared" ca="1" si="9"/>
        <v/>
      </c>
      <c r="G89" s="16"/>
      <c r="H89" s="22" t="str">
        <f ca="1">IFERROR(__xludf.dummyfunction("iferror(1000+INT(($N$4-(index(split(G89,"":""),1)*60+index(split(G89,"":""),2 )))/0.2+1)*$N$5,"""")"),"")</f>
        <v/>
      </c>
      <c r="I89" s="16" t="str">
        <f t="shared" ca="1" si="10"/>
        <v/>
      </c>
      <c r="J89" s="16" t="str">
        <f t="shared" si="11"/>
        <v/>
      </c>
      <c r="K89" s="16" t="str">
        <f t="shared" si="12"/>
        <v/>
      </c>
      <c r="L89" s="16"/>
    </row>
    <row r="90" spans="1:12" ht="14.5" x14ac:dyDescent="0.35">
      <c r="A90" s="16"/>
      <c r="B90" s="16"/>
      <c r="C90" s="16"/>
      <c r="D90" s="16"/>
      <c r="E90" s="22" t="str">
        <f ca="1">IFERROR(__xludf.dummyfunction("iferror(1000+INT(($N$2-(index(split(D90,"":""),1)*60+index(split(D90,"":""),2 )))/0.2+1)*$N$3,"""")"),"")</f>
        <v/>
      </c>
      <c r="F90" s="16" t="str">
        <f t="shared" ca="1" si="9"/>
        <v/>
      </c>
      <c r="G90" s="16"/>
      <c r="H90" s="22" t="str">
        <f ca="1">IFERROR(__xludf.dummyfunction("iferror(1000+INT(($N$4-(index(split(G90,"":""),1)*60+index(split(G90,"":""),2 )))/0.2+1)*$N$5,"""")"),"")</f>
        <v/>
      </c>
      <c r="I90" s="16" t="str">
        <f t="shared" ca="1" si="10"/>
        <v/>
      </c>
      <c r="J90" s="16" t="str">
        <f t="shared" si="11"/>
        <v/>
      </c>
      <c r="K90" s="16" t="str">
        <f t="shared" si="12"/>
        <v/>
      </c>
      <c r="L90" s="16"/>
    </row>
    <row r="91" spans="1:12" ht="14.5" x14ac:dyDescent="0.35">
      <c r="A91" s="16"/>
      <c r="B91" s="16"/>
      <c r="C91" s="16"/>
      <c r="D91" s="16"/>
      <c r="E91" s="22" t="str">
        <f ca="1">IFERROR(__xludf.dummyfunction("iferror(1000+INT(($N$2-(index(split(D91,"":""),1)*60+index(split(D91,"":""),2 )))/0.2+1)*$N$3,"""")"),"")</f>
        <v/>
      </c>
      <c r="F91" s="16" t="str">
        <f t="shared" ca="1" si="9"/>
        <v/>
      </c>
      <c r="G91" s="16"/>
      <c r="H91" s="22" t="str">
        <f ca="1">IFERROR(__xludf.dummyfunction("iferror(1000+INT(($N$4-(index(split(G91,"":""),1)*60+index(split(G91,"":""),2 )))/0.2+1)*$N$5,"""")"),"")</f>
        <v/>
      </c>
      <c r="I91" s="16" t="str">
        <f t="shared" ca="1" si="10"/>
        <v/>
      </c>
      <c r="J91" s="16" t="str">
        <f t="shared" si="11"/>
        <v/>
      </c>
      <c r="K91" s="16" t="str">
        <f t="shared" si="12"/>
        <v/>
      </c>
      <c r="L91" s="16"/>
    </row>
    <row r="92" spans="1:12" ht="14.5" x14ac:dyDescent="0.35">
      <c r="A92" s="16"/>
      <c r="B92" s="16"/>
      <c r="C92" s="16"/>
      <c r="D92" s="16"/>
      <c r="E92" s="22" t="str">
        <f ca="1">IFERROR(__xludf.dummyfunction("iferror(1000+INT(($N$2-(index(split(D92,"":""),1)*60+index(split(D92,"":""),2 )))/0.2+1)*$N$3,"""")"),"")</f>
        <v/>
      </c>
      <c r="F92" s="16" t="str">
        <f t="shared" ca="1" si="9"/>
        <v/>
      </c>
      <c r="G92" s="16"/>
      <c r="H92" s="22" t="str">
        <f ca="1">IFERROR(__xludf.dummyfunction("iferror(1000+INT(($N$4-(index(split(G92,"":""),1)*60+index(split(G92,"":""),2 )))/0.2+1)*$N$5,"""")"),"")</f>
        <v/>
      </c>
      <c r="I92" s="16" t="str">
        <f t="shared" ca="1" si="10"/>
        <v/>
      </c>
      <c r="J92" s="16" t="str">
        <f t="shared" si="11"/>
        <v/>
      </c>
      <c r="K92" s="16" t="str">
        <f t="shared" si="12"/>
        <v/>
      </c>
      <c r="L92" s="16"/>
    </row>
    <row r="93" spans="1:12" ht="14.5" x14ac:dyDescent="0.35">
      <c r="A93" s="16"/>
      <c r="B93" s="16"/>
      <c r="C93" s="16"/>
      <c r="D93" s="16"/>
      <c r="E93" s="22" t="str">
        <f ca="1">IFERROR(__xludf.dummyfunction("iferror(1000+INT(($N$2-(index(split(D93,"":""),1)*60+index(split(D93,"":""),2 )))/0.2+1)*$N$3,"""")"),"")</f>
        <v/>
      </c>
      <c r="F93" s="16" t="str">
        <f t="shared" ca="1" si="9"/>
        <v/>
      </c>
      <c r="G93" s="16"/>
      <c r="H93" s="22" t="str">
        <f ca="1">IFERROR(__xludf.dummyfunction("iferror(1000+INT(($N$4-(index(split(G93,"":""),1)*60+index(split(G93,"":""),2 )))/0.2+1)*$N$5,"""")"),"")</f>
        <v/>
      </c>
      <c r="I93" s="16" t="str">
        <f t="shared" ca="1" si="10"/>
        <v/>
      </c>
      <c r="J93" s="16" t="str">
        <f t="shared" si="11"/>
        <v/>
      </c>
      <c r="K93" s="16" t="str">
        <f t="shared" si="12"/>
        <v/>
      </c>
      <c r="L93" s="16"/>
    </row>
    <row r="94" spans="1:12" ht="14.5" x14ac:dyDescent="0.35">
      <c r="A94" s="16"/>
      <c r="B94" s="16"/>
      <c r="C94" s="16"/>
      <c r="D94" s="16"/>
      <c r="E94" s="22" t="str">
        <f ca="1">IFERROR(__xludf.dummyfunction("iferror(1000+INT(($N$2-(index(split(D94,"":""),1)*60+index(split(D94,"":""),2 )))/0.2+1)*$N$3,"""")"),"")</f>
        <v/>
      </c>
      <c r="F94" s="16" t="str">
        <f t="shared" ca="1" si="9"/>
        <v/>
      </c>
      <c r="G94" s="16"/>
      <c r="H94" s="22" t="str">
        <f ca="1">IFERROR(__xludf.dummyfunction("iferror(1000+INT(($N$4-(index(split(G94,"":""),1)*60+index(split(G94,"":""),2 )))/0.2+1)*$N$5,"""")"),"")</f>
        <v/>
      </c>
      <c r="I94" s="16" t="str">
        <f t="shared" ca="1" si="10"/>
        <v/>
      </c>
      <c r="J94" s="16" t="str">
        <f t="shared" si="11"/>
        <v/>
      </c>
      <c r="K94" s="16" t="str">
        <f t="shared" si="12"/>
        <v/>
      </c>
      <c r="L94" s="16"/>
    </row>
    <row r="95" spans="1:12" ht="14.5" x14ac:dyDescent="0.35">
      <c r="A95" s="16"/>
      <c r="B95" s="16"/>
      <c r="C95" s="16"/>
      <c r="D95" s="16"/>
      <c r="E95" s="22" t="str">
        <f ca="1">IFERROR(__xludf.dummyfunction("iferror(1000+INT(($N$2-(index(split(D95,"":""),1)*60+index(split(D95,"":""),2 )))/0.2+1)*$N$3,"""")"),"")</f>
        <v/>
      </c>
      <c r="F95" s="16" t="str">
        <f t="shared" ca="1" si="9"/>
        <v/>
      </c>
      <c r="G95" s="16"/>
      <c r="H95" s="22" t="str">
        <f ca="1">IFERROR(__xludf.dummyfunction("iferror(1000+INT(($N$4-(index(split(G95,"":""),1)*60+index(split(G95,"":""),2 )))/0.2+1)*$N$5,"""")"),"")</f>
        <v/>
      </c>
      <c r="I95" s="16" t="str">
        <f t="shared" ca="1" si="10"/>
        <v/>
      </c>
      <c r="J95" s="16" t="str">
        <f t="shared" si="11"/>
        <v/>
      </c>
      <c r="K95" s="16" t="str">
        <f t="shared" si="12"/>
        <v/>
      </c>
      <c r="L95" s="16"/>
    </row>
    <row r="96" spans="1:12" ht="14.5" x14ac:dyDescent="0.35">
      <c r="A96" s="16"/>
      <c r="B96" s="16"/>
      <c r="C96" s="16"/>
      <c r="D96" s="16"/>
      <c r="E96" s="22" t="str">
        <f ca="1">IFERROR(__xludf.dummyfunction("iferror(1000+INT(($N$2-(index(split(D96,"":""),1)*60+index(split(D96,"":""),2 )))/0.2+1)*$N$3,"""")"),"")</f>
        <v/>
      </c>
      <c r="F96" s="16" t="str">
        <f t="shared" ca="1" si="9"/>
        <v/>
      </c>
      <c r="G96" s="16"/>
      <c r="H96" s="22" t="str">
        <f ca="1">IFERROR(__xludf.dummyfunction("iferror(1000+INT(($N$4-(index(split(G96,"":""),1)*60+index(split(G96,"":""),2 )))/0.2+1)*$N$5,"""")"),"")</f>
        <v/>
      </c>
      <c r="I96" s="16" t="str">
        <f t="shared" ca="1" si="10"/>
        <v/>
      </c>
      <c r="J96" s="16" t="str">
        <f t="shared" si="11"/>
        <v/>
      </c>
      <c r="K96" s="16" t="str">
        <f t="shared" si="12"/>
        <v/>
      </c>
      <c r="L96" s="16"/>
    </row>
    <row r="97" spans="1:12" ht="14.5" x14ac:dyDescent="0.35">
      <c r="A97" s="16"/>
      <c r="B97" s="16"/>
      <c r="C97" s="16"/>
      <c r="D97" s="16"/>
      <c r="E97" s="22" t="str">
        <f ca="1">IFERROR(__xludf.dummyfunction("iferror(1000+INT(($N$2-(index(split(D97,"":""),1)*60+index(split(D97,"":""),2 )))/0.2+1)*$N$3,"""")"),"")</f>
        <v/>
      </c>
      <c r="F97" s="16" t="str">
        <f t="shared" ca="1" si="9"/>
        <v/>
      </c>
      <c r="G97" s="16"/>
      <c r="H97" s="22" t="str">
        <f ca="1">IFERROR(__xludf.dummyfunction("iferror(1000+INT(($N$4-(index(split(G97,"":""),1)*60+index(split(G97,"":""),2 )))/0.2+1)*$N$5,"""")"),"")</f>
        <v/>
      </c>
      <c r="I97" s="16" t="str">
        <f t="shared" ca="1" si="10"/>
        <v/>
      </c>
      <c r="J97" s="16" t="str">
        <f t="shared" si="11"/>
        <v/>
      </c>
      <c r="K97" s="16" t="str">
        <f t="shared" si="12"/>
        <v/>
      </c>
      <c r="L97" s="16"/>
    </row>
    <row r="98" spans="1:12" ht="14.5" x14ac:dyDescent="0.35">
      <c r="A98" s="16"/>
      <c r="B98" s="16"/>
      <c r="C98" s="16"/>
      <c r="D98" s="16"/>
      <c r="E98" s="22" t="str">
        <f ca="1">IFERROR(__xludf.dummyfunction("iferror(1000+INT(($N$2-(index(split(D98,"":""),1)*60+index(split(D98,"":""),2 )))/0.2+1)*$N$3,"""")"),"")</f>
        <v/>
      </c>
      <c r="F98" s="16" t="str">
        <f t="shared" ref="F98:F129" ca="1" si="13">IFERROR(_xlfn.RANK.EQ(E98,E:E),"")</f>
        <v/>
      </c>
      <c r="G98" s="16"/>
      <c r="H98" s="22" t="str">
        <f ca="1">IFERROR(__xludf.dummyfunction("iferror(1000+INT(($N$4-(index(split(G98,"":""),1)*60+index(split(G98,"":""),2 )))/0.2+1)*$N$5,"""")"),"")</f>
        <v/>
      </c>
      <c r="I98" s="16" t="str">
        <f t="shared" ref="I98:I129" ca="1" si="14">IFERROR(_xlfn.RANK.EQ(H98,H:H),"")</f>
        <v/>
      </c>
      <c r="J98" s="16" t="str">
        <f t="shared" si="11"/>
        <v/>
      </c>
      <c r="K98" s="16" t="str">
        <f t="shared" ref="K98:K129" si="15">IFERROR(_xlfn.RANK.EQ(J98,J:J),"")</f>
        <v/>
      </c>
      <c r="L98" s="16"/>
    </row>
    <row r="99" spans="1:12" ht="14.5" x14ac:dyDescent="0.35">
      <c r="A99" s="16"/>
      <c r="B99" s="16"/>
      <c r="C99" s="16"/>
      <c r="D99" s="16"/>
      <c r="E99" s="22" t="str">
        <f ca="1">IFERROR(__xludf.dummyfunction("iferror(1000+INT(($N$2-(index(split(D99,"":""),1)*60+index(split(D99,"":""),2 )))/0.2+1)*$N$3,"""")"),"")</f>
        <v/>
      </c>
      <c r="F99" s="16" t="str">
        <f t="shared" ca="1" si="13"/>
        <v/>
      </c>
      <c r="G99" s="16"/>
      <c r="H99" s="22" t="str">
        <f ca="1">IFERROR(__xludf.dummyfunction("iferror(1000+INT(($N$4-(index(split(G99,"":""),1)*60+index(split(G99,"":""),2 )))/0.2+1)*$N$5,"""")"),"")</f>
        <v/>
      </c>
      <c r="I99" s="16" t="str">
        <f t="shared" ca="1" si="14"/>
        <v/>
      </c>
      <c r="J99" s="16" t="str">
        <f t="shared" si="11"/>
        <v/>
      </c>
      <c r="K99" s="16" t="str">
        <f t="shared" si="15"/>
        <v/>
      </c>
      <c r="L99" s="16"/>
    </row>
    <row r="100" spans="1:12" ht="14.5" x14ac:dyDescent="0.35">
      <c r="A100" s="16"/>
      <c r="B100" s="16"/>
      <c r="C100" s="16"/>
      <c r="D100" s="16"/>
      <c r="E100" s="22" t="str">
        <f ca="1">IFERROR(__xludf.dummyfunction("iferror(1000+INT(($N$2-(index(split(D100,"":""),1)*60+index(split(D100,"":""),2 )))/0.2+1)*$N$3,"""")"),"")</f>
        <v/>
      </c>
      <c r="F100" s="16" t="str">
        <f t="shared" ca="1" si="13"/>
        <v/>
      </c>
      <c r="G100" s="16"/>
      <c r="H100" s="22" t="str">
        <f ca="1">IFERROR(__xludf.dummyfunction("iferror(1000+INT(($N$4-(index(split(G100,"":""),1)*60+index(split(G100,"":""),2 )))/0.2+1)*$N$5,"""")"),"")</f>
        <v/>
      </c>
      <c r="I100" s="16" t="str">
        <f t="shared" ca="1" si="14"/>
        <v/>
      </c>
      <c r="J100" s="16" t="str">
        <f t="shared" si="11"/>
        <v/>
      </c>
      <c r="K100" s="16" t="str">
        <f t="shared" si="15"/>
        <v/>
      </c>
      <c r="L100" s="16"/>
    </row>
    <row r="101" spans="1:12" ht="14.5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4.5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4.5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4.5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4.5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4.5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4.5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4.5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4.5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4.5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4.5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4.5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4.5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4.5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4.5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4.5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4.5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4.5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4.5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4.5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4.5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4.5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4.5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4.5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4.5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4.5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4.5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4.5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4.5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4.5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4.5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4.5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4.5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4.5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4.5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4.5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4.5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4.5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4.5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4.5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4.5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4.5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4.5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4.5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4.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4.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4.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4.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4.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4.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4.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4.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4.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4.5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4.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4.5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4.5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4.5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4.5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4.5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4.5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4.5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ht="14.5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4.5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ht="14.5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ht="14.5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4.5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4.5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5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4.5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4.5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4.5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4.5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4.5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4.5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4.5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4.5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4.5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4.5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4.5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4.5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4.5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4.5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4.5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4.5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4.5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4.5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4.5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4.5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4.5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4.5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4.5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4.5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4.5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4.5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4.5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4.5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4.5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4.5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4.5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4.5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4.5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4.5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4.5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4.5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4.5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4.5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4.5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4.5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4.5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4.5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4.5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4.5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4.5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4.5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4.5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4.5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4.5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4.5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4.5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4.5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4.5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4.5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4.5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4.5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4.5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4.5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4.5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4.5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4.5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4.5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4.5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4.5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5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4.5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4.5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4.5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4.5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4.5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4.5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4.5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4.5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4.5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4.5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4.5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4.5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4.5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4.5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4.5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4.5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4.5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4.5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4.5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4.5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4.5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4.5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4.5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4.5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4.5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4.5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4.5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4.5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4.5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4.5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4.5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4.5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4.5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4.5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4.5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4.5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4.5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4.5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4.5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4.5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4.5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4.5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4.5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4.5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4.5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4.5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4.5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4.5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4.5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4.5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4.5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4.5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4.5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4.5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4.5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4.5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4.5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4.5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4.5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4.5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4.5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4.5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4.5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4.5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4.5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4.5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4.5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4.5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4.5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4.5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4.5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4.5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4.5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4.5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4.5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4.5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4.5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4.5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4.5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4.5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4.5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4.5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4.5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4.5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4.5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4.5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4.5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4.5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4.5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4.5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4.5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4.5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4.5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4.5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4.5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4.5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4.5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4.5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4.5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4.5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4.5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4.5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4.5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4.5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4.5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4.5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4.5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4.5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4.5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4.5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4.5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4.5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4.5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4.5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4.5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4.5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4.5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4.5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4.5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4.5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4.5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4.5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4.5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4.5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4.5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4.5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4.5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4.5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4.5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4.5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4.5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4.5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4.5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4.5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4.5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4.5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4.5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4.5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4.5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4.5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4.5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4.5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4.5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4.5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4.5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ht="14.5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ht="14.5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ht="14.5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ht="14.5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ht="14.5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ht="14.5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ht="14.5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ht="14.5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ht="14.5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ht="14.5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ht="14.5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ht="14.5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ht="14.5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ht="14.5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ht="14.5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ht="14.5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ht="14.5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ht="14.5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ht="14.5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ht="14.5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ht="14.5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ht="14.5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ht="14.5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ht="14.5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ht="14.5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ht="14.5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ht="14.5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ht="14.5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ht="14.5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ht="14.5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ht="14.5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ht="14.5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ht="14.5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ht="14.5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ht="14.5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ht="14.5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ht="14.5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ht="14.5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ht="14.5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ht="14.5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ht="14.5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ht="14.5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ht="14.5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ht="14.5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ht="14.5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ht="14.5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ht="14.5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ht="14.5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ht="14.5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ht="14.5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ht="14.5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ht="14.5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ht="14.5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ht="14.5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ht="14.5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ht="14.5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ht="14.5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ht="14.5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 ht="14.5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 ht="14.5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 ht="14.5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 ht="14.5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 ht="14.5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 ht="14.5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 ht="14.5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 ht="14.5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 ht="14.5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 ht="14.5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 ht="14.5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 ht="14.5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 ht="14.5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 ht="14.5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 ht="14.5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 ht="14.5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 ht="14.5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 ht="14.5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 ht="14.5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 ht="14.5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 ht="14.5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 ht="14.5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 ht="14.5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 ht="14.5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 ht="14.5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 ht="14.5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 ht="14.5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 ht="14.5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 ht="14.5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 ht="14.5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 ht="14.5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 ht="14.5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 ht="14.5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 ht="14.5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 ht="14.5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 ht="14.5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 ht="14.5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 ht="14.5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 ht="14.5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 ht="14.5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 ht="14.5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 ht="14.5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 ht="14.5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 ht="14.5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 ht="14.5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 ht="14.5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 ht="14.5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 ht="14.5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 ht="14.5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 ht="14.5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 ht="14.5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 ht="14.5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 ht="14.5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 ht="14.5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 ht="14.5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 ht="14.5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 ht="14.5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 ht="14.5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 ht="14.5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 ht="14.5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 ht="14.5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 ht="14.5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 ht="14.5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 ht="14.5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 ht="14.5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 ht="14.5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 ht="14.5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 ht="14.5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 ht="14.5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 ht="14.5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 ht="14.5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 ht="14.5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 ht="14.5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 ht="14.5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 ht="14.5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 ht="14.5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 ht="14.5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 ht="14.5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 ht="14.5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 ht="14.5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 ht="14.5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 ht="14.5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 ht="14.5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ht="14.5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ht="14.5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ht="14.5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ht="14.5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ht="14.5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ht="14.5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ht="14.5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ht="14.5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 ht="14.5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 ht="14.5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 ht="14.5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 ht="14.5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 ht="14.5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 ht="14.5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 ht="14.5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 ht="14.5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 ht="14.5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 ht="14.5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 ht="14.5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 ht="14.5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 ht="14.5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 ht="14.5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 ht="14.5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 ht="14.5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 ht="14.5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 ht="14.5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 ht="14.5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 ht="14.5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 ht="14.5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 ht="14.5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 ht="14.5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 ht="14.5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 ht="14.5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 ht="14.5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 ht="14.5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 ht="14.5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 ht="14.5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 ht="14.5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 ht="14.5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 ht="14.5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 ht="14.5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 ht="14.5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 ht="14.5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 ht="14.5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 ht="14.5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 ht="14.5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 ht="14.5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 ht="14.5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 ht="14.5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 ht="14.5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 ht="14.5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 ht="14.5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 ht="14.5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 ht="14.5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 ht="14.5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 ht="14.5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 ht="14.5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 ht="14.5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 ht="14.5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 ht="14.5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 ht="14.5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 ht="14.5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 ht="14.5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 ht="14.5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 ht="14.5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 ht="14.5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 ht="14.5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 ht="14.5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 ht="14.5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 ht="14.5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 ht="14.5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 ht="14.5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 ht="14.5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 ht="14.5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 ht="14.5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 ht="14.5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 ht="14.5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 ht="14.5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 ht="14.5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 ht="14.5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 ht="14.5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 ht="14.5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 ht="14.5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 ht="14.5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 ht="14.5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 ht="14.5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 ht="14.5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 ht="14.5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 ht="14.5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 ht="14.5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 ht="14.5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 ht="14.5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 ht="14.5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 ht="14.5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 ht="14.5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 ht="14.5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 ht="14.5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 ht="14.5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 ht="14.5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 ht="14.5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 ht="14.5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 ht="14.5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 ht="14.5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 ht="14.5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 ht="14.5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 ht="14.5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 ht="14.5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 ht="14.5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 ht="14.5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 ht="14.5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 ht="14.5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 ht="14.5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 ht="14.5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 ht="14.5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 ht="14.5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 ht="14.5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 ht="14.5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 ht="14.5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 ht="14.5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 ht="14.5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 ht="14.5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 ht="14.5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 ht="14.5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 ht="14.5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 ht="14.5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 ht="14.5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 ht="14.5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 ht="14.5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 ht="14.5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 ht="14.5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 ht="14.5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 ht="14.5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 ht="14.5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 ht="14.5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 ht="14.5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 ht="14.5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 ht="14.5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 ht="14.5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 ht="14.5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 ht="14.5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 ht="14.5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 ht="14.5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 ht="14.5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 ht="14.5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 ht="14.5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 ht="14.5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 ht="14.5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 ht="14.5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 ht="14.5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 ht="14.5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 ht="14.5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 ht="14.5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 ht="14.5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 ht="14.5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 ht="14.5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 ht="14.5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 ht="14.5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 ht="14.5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 ht="14.5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 ht="14.5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 ht="14.5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 ht="14.5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 ht="14.5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 ht="14.5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 ht="14.5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 ht="14.5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 ht="14.5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 ht="14.5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 ht="14.5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 ht="14.5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 ht="14.5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 ht="14.5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 ht="14.5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 ht="14.5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 ht="14.5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 ht="14.5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 ht="14.5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 ht="14.5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 ht="14.5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 ht="14.5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 ht="14.5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 ht="14.5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 ht="14.5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 ht="14.5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 ht="14.5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 ht="14.5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 ht="14.5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 ht="14.5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 ht="14.5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 ht="14.5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 ht="14.5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 ht="14.5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 ht="14.5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 ht="14.5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 ht="14.5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 ht="14.5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 ht="14.5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 ht="14.5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 ht="14.5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 ht="14.5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 ht="14.5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 ht="14.5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 ht="14.5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 ht="14.5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 ht="14.5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 ht="14.5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 ht="14.5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 ht="14.5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 ht="14.5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 ht="14.5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 ht="14.5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 ht="14.5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 ht="14.5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 ht="14.5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 ht="14.5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 ht="14.5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 ht="14.5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 ht="14.5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 ht="14.5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 ht="14.5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 ht="14.5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 ht="14.5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 ht="14.5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 ht="14.5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 ht="14.5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 ht="14.5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 ht="14.5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 ht="14.5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 ht="14.5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 ht="14.5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 ht="14.5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 ht="14.5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 ht="14.5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 ht="14.5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 ht="14.5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 ht="14.5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 ht="14.5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 ht="14.5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 ht="14.5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 ht="14.5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 ht="14.5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 ht="14.5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 ht="14.5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 ht="14.5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 ht="14.5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 ht="14.5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 ht="14.5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 ht="14.5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 ht="14.5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 ht="14.5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 ht="14.5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 ht="14.5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 ht="14.5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 ht="14.5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 ht="14.5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 ht="14.5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 ht="14.5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 ht="14.5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 ht="14.5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 ht="14.5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 ht="14.5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 ht="14.5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 ht="14.5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 ht="14.5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 ht="14.5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 ht="14.5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 ht="14.5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 ht="14.5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 ht="14.5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 ht="14.5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 ht="14.5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 ht="14.5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 ht="14.5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 ht="14.5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 ht="14.5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 ht="14.5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 ht="14.5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 ht="14.5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 ht="14.5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 ht="14.5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 ht="14.5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 ht="14.5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 ht="14.5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 ht="14.5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 ht="14.5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 ht="14.5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 ht="14.5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 ht="14.5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 ht="14.5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 ht="14.5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 ht="14.5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 ht="14.5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 ht="14.5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 ht="14.5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 ht="14.5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 ht="14.5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 ht="14.5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 ht="14.5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 ht="14.5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 ht="14.5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 ht="14.5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 ht="14.5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 ht="14.5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 ht="14.5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 ht="14.5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 ht="14.5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 ht="14.5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 ht="14.5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 ht="14.5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 ht="14.5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 ht="14.5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 ht="14.5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 ht="14.5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 ht="14.5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 ht="14.5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 ht="14.5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 ht="14.5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 ht="14.5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 ht="14.5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 ht="14.5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 ht="14.5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 ht="14.5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 ht="14.5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 ht="14.5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 ht="14.5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 ht="14.5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 ht="14.5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 ht="14.5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 ht="14.5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 ht="14.5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 ht="14.5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 ht="14.5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 ht="14.5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 ht="14.5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 ht="14.5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 ht="14.5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 ht="14.5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 ht="14.5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 ht="14.5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 ht="14.5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 ht="14.5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 ht="14.5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 ht="14.5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 ht="14.5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 ht="14.5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 ht="14.5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 ht="14.5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 ht="14.5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 ht="14.5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 ht="14.5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 ht="14.5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 ht="14.5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 ht="14.5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 ht="14.5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 ht="14.5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 ht="14.5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 ht="14.5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 ht="14.5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 ht="14.5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 ht="14.5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 ht="14.5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 ht="14.5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 ht="14.5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 ht="14.5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 ht="14.5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 ht="14.5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 ht="14.5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 ht="14.5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 ht="14.5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 ht="14.5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 ht="14.5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 ht="14.5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 ht="14.5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 ht="14.5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 ht="14.5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 ht="14.5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 ht="14.5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 ht="14.5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 ht="14.5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 ht="14.5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 ht="14.5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 ht="14.5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 ht="14.5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 ht="14.5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 ht="14.5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 ht="14.5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 ht="14.5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 ht="14.5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 ht="14.5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 ht="14.5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 ht="14.5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 ht="14.5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 ht="14.5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 ht="14.5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 ht="14.5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 ht="14.5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 ht="14.5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 ht="14.5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 ht="14.5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 ht="14.5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 ht="14.5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 ht="14.5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 ht="14.5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 ht="14.5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 ht="14.5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</sheetData>
  <sortState xmlns:xlrd2="http://schemas.microsoft.com/office/spreadsheetml/2017/richdata2" ref="A2:L14">
    <sortCondition ref="K2:K14"/>
  </sortState>
  <printOptions horizontalCentered="1" gridLines="1"/>
  <pageMargins left="0.7" right="0.7" top="1.1437499999999998" bottom="1.1437499999999998" header="0.75" footer="0.75"/>
  <pageSetup paperSize="0" fitToWidth="0" fitToHeight="0" pageOrder="overThenDown" orientation="landscape" horizontalDpi="0" verticalDpi="0" copies="0"/>
  <headerFooter alignWithMargins="0"/>
  <ignoredErrors>
    <ignoredError sqref="J2:J13 J15:J30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'Scoring tables'!$A$2:$A$57</xm:f>
          </x14:formula1>
          <xm:sqref>L1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workbookViewId="0">
      <selection activeCell="A14" sqref="A14:K15"/>
    </sheetView>
  </sheetViews>
  <sheetFormatPr defaultRowHeight="15.75" customHeight="1" x14ac:dyDescent="0.35"/>
  <cols>
    <col min="1" max="1" width="10.4140625" style="25" customWidth="1"/>
    <col min="2" max="2" width="23.58203125" style="25" customWidth="1"/>
    <col min="3" max="3" width="22.4140625" style="25" customWidth="1"/>
    <col min="4" max="11" width="8.4140625" style="25" customWidth="1"/>
    <col min="12" max="1024" width="11.6640625" style="25" customWidth="1"/>
    <col min="1025" max="16384" width="8.6640625" style="25"/>
  </cols>
  <sheetData>
    <row r="1" spans="1:14" ht="30.75" customHeight="1" x14ac:dyDescent="0.35">
      <c r="A1" s="20" t="s">
        <v>0</v>
      </c>
      <c r="B1" s="20" t="s">
        <v>26</v>
      </c>
      <c r="C1" s="20" t="s">
        <v>27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10</v>
      </c>
    </row>
    <row r="2" spans="1:14" ht="14.5" x14ac:dyDescent="0.35">
      <c r="A2" s="16">
        <f ca="1">IFERROR(__xludf.dummyfunction("""COMPUTED_VALUE"""),48)</f>
        <v>48</v>
      </c>
      <c r="B2" s="5" t="str">
        <f ca="1">IFERROR(__xludf.dummyfunction("""COMPUTED_VALUE"""),"Libby James")</f>
        <v>Libby James</v>
      </c>
      <c r="C2" s="5" t="str">
        <f ca="1">IFERROR(__xludf.dummyfunction("""COMPUTED_VALUE"""),"The King's School in Macclesfield")</f>
        <v>The King's School in Macclesfield</v>
      </c>
      <c r="D2" s="16" t="s">
        <v>245</v>
      </c>
      <c r="E2" s="22">
        <f ca="1">IFERROR(__xludf.dummyfunction("iferror(1000+INT(($N$2-(index(split(D3,"":""),1)*60+index(split(D3,"":""),2 )))/0.2+1)*$N$3,"""")"),1156)</f>
        <v>1156</v>
      </c>
      <c r="F2" s="16">
        <f ca="1">IFERROR(_xlfn.RANK.EQ(E2,E:E),"")</f>
        <v>2</v>
      </c>
      <c r="G2" s="16" t="s">
        <v>246</v>
      </c>
      <c r="H2" s="22">
        <f ca="1">IFERROR(__xludf.dummyfunction("iferror(1000+INT(($N$4-(index(split(G3,"":""),1)*60+index(split(G3,"":""),2 )))/0.2+1)*$N$5,"""")"),1108)</f>
        <v>1108</v>
      </c>
      <c r="I2" s="16">
        <f ca="1">IFERROR(_xlfn.RANK.EQ(H2,H:H),"")</f>
        <v>2</v>
      </c>
      <c r="J2" s="22">
        <f ca="1">IF(AND(D2="", G2=""), "", E2+H2)</f>
        <v>2264</v>
      </c>
      <c r="K2" s="16">
        <f ca="1">IFERROR(_xlfn.RANK.EQ(J2,J:J),"")</f>
        <v>1</v>
      </c>
      <c r="L2" s="16"/>
      <c r="M2" s="21" t="s">
        <v>38</v>
      </c>
      <c r="N2" s="26">
        <f>VLOOKUP($L$1,'Scoring tables'!$A$2:$K$57,10,0)</f>
        <v>40</v>
      </c>
    </row>
    <row r="3" spans="1:14" ht="14.5" x14ac:dyDescent="0.35">
      <c r="A3" s="16">
        <f ca="1">IFERROR(__xludf.dummyfunction("""COMPUTED_VALUE"""),53)</f>
        <v>53</v>
      </c>
      <c r="B3" s="5" t="str">
        <f ca="1">IFERROR(__xludf.dummyfunction("""COMPUTED_VALUE"""),"Olivia Matthams")</f>
        <v>Olivia Matthams</v>
      </c>
      <c r="C3" s="5" t="str">
        <f ca="1">IFERROR(__xludf.dummyfunction("""COMPUTED_VALUE"""),"St Peters School")</f>
        <v>St Peters School</v>
      </c>
      <c r="D3" s="23" t="s">
        <v>253</v>
      </c>
      <c r="E3" s="22">
        <f ca="1">IFERROR(__xludf.dummyfunction("iferror(1000+INT(($N$2-(index(split(D8,"":""),1)*60+index(split(D8,"":""),2 )))/0.2+1)*$N$3,"""")"),1216)</f>
        <v>1216</v>
      </c>
      <c r="F3" s="16">
        <f ca="1">IFERROR(_xlfn.RANK.EQ(E3,E:E),"")</f>
        <v>1</v>
      </c>
      <c r="G3" s="16" t="s">
        <v>254</v>
      </c>
      <c r="H3" s="22">
        <f ca="1">IFERROR(__xludf.dummyfunction("iferror(1000+INT(($N$4-(index(split(G8,"":""),1)*60+index(split(G8,"":""),2 )))/0.2+1)*$N$5,"""")"),1033)</f>
        <v>1033</v>
      </c>
      <c r="I3" s="16">
        <f ca="1">IFERROR(_xlfn.RANK.EQ(H3,H:H),"")</f>
        <v>4</v>
      </c>
      <c r="J3" s="22">
        <f t="shared" ref="J3:J53" ca="1" si="0">IF(AND(D3="", G3=""), "", E3+H3)</f>
        <v>2249</v>
      </c>
      <c r="K3" s="16">
        <f ca="1">IFERROR(_xlfn.RANK.EQ(J3,J:J),"")</f>
        <v>2</v>
      </c>
      <c r="L3" s="16"/>
      <c r="M3" s="21" t="s">
        <v>39</v>
      </c>
      <c r="N3" s="26">
        <f>VLOOKUP($L$1,'Scoring tables'!$A$2:$K$57,11,0)</f>
        <v>6</v>
      </c>
    </row>
    <row r="4" spans="1:14" ht="14.5" x14ac:dyDescent="0.35">
      <c r="A4" s="16">
        <f ca="1">IFERROR(__xludf.dummyfunction("""COMPUTED_VALUE"""),57)</f>
        <v>57</v>
      </c>
      <c r="B4" s="5" t="str">
        <f ca="1">IFERROR(__xludf.dummyfunction("""COMPUTED_VALUE"""),"Niamh Murray")</f>
        <v>Niamh Murray</v>
      </c>
      <c r="C4" s="5" t="str">
        <f ca="1">IFERROR(__xludf.dummyfunction("""COMPUTED_VALUE"""),"Unsworth Primary School")</f>
        <v>Unsworth Primary School</v>
      </c>
      <c r="D4" s="16" t="s">
        <v>261</v>
      </c>
      <c r="E4" s="22">
        <f ca="1">IFERROR(__xludf.dummyfunction("iferror(1000+INT(($N$2-(index(split(D12,"":""),1)*60+index(split(D12,"":""),2 )))/0.2+1)*$N$3,"""")"),1144)</f>
        <v>1144</v>
      </c>
      <c r="F4" s="16">
        <f ca="1">IFERROR(_xlfn.RANK.EQ(E4,E:E),"")</f>
        <v>4</v>
      </c>
      <c r="G4" s="16" t="s">
        <v>262</v>
      </c>
      <c r="H4" s="22">
        <f ca="1">IFERROR(__xludf.dummyfunction("iferror(1000+INT(($N$4-(index(split(G12,"":""),1)*60+index(split(G12,"":""),2 )))/0.2+1)*$N$5,"""")"),1072)</f>
        <v>1072</v>
      </c>
      <c r="I4" s="16">
        <f ca="1">IFERROR(_xlfn.RANK.EQ(H4,H:H),"")</f>
        <v>3</v>
      </c>
      <c r="J4" s="22">
        <f t="shared" ca="1" si="0"/>
        <v>2216</v>
      </c>
      <c r="K4" s="16">
        <f ca="1">IFERROR(_xlfn.RANK.EQ(J4,J:J),"")</f>
        <v>3</v>
      </c>
      <c r="L4" s="16"/>
      <c r="M4" s="21" t="s">
        <v>31</v>
      </c>
      <c r="N4" s="26">
        <f>VLOOKUP($L$1,'Scoring tables'!$A$2:$K$57,5,0)</f>
        <v>180</v>
      </c>
    </row>
    <row r="5" spans="1:14" ht="14.5" x14ac:dyDescent="0.35">
      <c r="A5" s="16">
        <f ca="1">IFERROR(__xludf.dummyfunction("""COMPUTED_VALUE"""),51)</f>
        <v>51</v>
      </c>
      <c r="B5" s="5" t="str">
        <f ca="1">IFERROR(__xludf.dummyfunction("""COMPUTED_VALUE"""),"Nya Williams")</f>
        <v>Nya Williams</v>
      </c>
      <c r="C5" s="5" t="str">
        <f ca="1">IFERROR(__xludf.dummyfunction("""COMPUTED_VALUE"""),"St Patrick CE Primary Academy")</f>
        <v>St Patrick CE Primary Academy</v>
      </c>
      <c r="D5" s="16" t="s">
        <v>251</v>
      </c>
      <c r="E5" s="22">
        <f ca="1">IFERROR(__xludf.dummyfunction("iferror(1000+INT(($N$2-(index(split(D6,"":""),1)*60+index(split(D6,"":""),2 )))/0.2+1)*$N$3,"""")"),970)</f>
        <v>970</v>
      </c>
      <c r="F5" s="16">
        <f ca="1">IFERROR(_xlfn.RANK.EQ(E5,E:E),"")</f>
        <v>9</v>
      </c>
      <c r="G5" s="16" t="s">
        <v>252</v>
      </c>
      <c r="H5" s="22">
        <f ca="1">IFERROR(__xludf.dummyfunction("iferror(1000+INT(($N$4-(index(split(G6,"":""),1)*60+index(split(G6,"":""),2 )))/0.2+1)*$N$5,"""")"),1213)</f>
        <v>1213</v>
      </c>
      <c r="I5" s="16">
        <f ca="1">IFERROR(_xlfn.RANK.EQ(H5,H:H),"")</f>
        <v>1</v>
      </c>
      <c r="J5" s="22">
        <f t="shared" ca="1" si="0"/>
        <v>2183</v>
      </c>
      <c r="K5" s="16">
        <f ca="1">IFERROR(_xlfn.RANK.EQ(J5,J:J),"")</f>
        <v>4</v>
      </c>
      <c r="L5" s="16"/>
      <c r="M5" s="21" t="s">
        <v>32</v>
      </c>
      <c r="N5" s="26">
        <f>VLOOKUP($L$1,'Scoring tables'!$A$2:$K$57,6,0)</f>
        <v>3</v>
      </c>
    </row>
    <row r="6" spans="1:14" ht="14.5" x14ac:dyDescent="0.35">
      <c r="A6" s="16">
        <f ca="1">IFERROR(__xludf.dummyfunction("Query(Entries!$A$2:$U$1205,""select A,C,D where B = '""&amp;L1&amp;""'"")"),47)</f>
        <v>47</v>
      </c>
      <c r="B6" s="5" t="str">
        <f ca="1">IFERROR(__xludf.dummyfunction("""COMPUTED_VALUE"""),"Evie Wilkinson")</f>
        <v>Evie Wilkinson</v>
      </c>
      <c r="C6" s="5" t="str">
        <f ca="1">IFERROR(__xludf.dummyfunction("""COMPUTED_VALUE"""),"Bootham Junior School")</f>
        <v>Bootham Junior School</v>
      </c>
      <c r="D6" s="16" t="s">
        <v>243</v>
      </c>
      <c r="E6" s="22">
        <f ca="1">IFERROR(__xludf.dummyfunction("iferror(1000+INT(($N$2-(index(split(D2,"":""),1)*60+index(split(D2,"":""),2 )))/0.2+1)*$N$3,"""")"),1126)</f>
        <v>1126</v>
      </c>
      <c r="F6" s="16">
        <f ca="1">IFERROR(_xlfn.RANK.EQ(E6,E:E),"")</f>
        <v>5</v>
      </c>
      <c r="G6" s="16" t="s">
        <v>244</v>
      </c>
      <c r="H6" s="22">
        <f ca="1">IFERROR(__xludf.dummyfunction("iferror(1000+INT(($N$4-(index(split(G2,"":""),1)*60+index(split(G2,"":""),2 )))/0.2+1)*$N$5,"""")"),1009)</f>
        <v>1009</v>
      </c>
      <c r="I6" s="16">
        <f ca="1">IFERROR(_xlfn.RANK.EQ(H6,H:H),"")</f>
        <v>5</v>
      </c>
      <c r="J6" s="22">
        <f t="shared" ca="1" si="0"/>
        <v>2135</v>
      </c>
      <c r="K6" s="16">
        <f ca="1">IFERROR(_xlfn.RANK.EQ(J6,J:J),"")</f>
        <v>5</v>
      </c>
      <c r="L6" s="16"/>
    </row>
    <row r="7" spans="1:14" ht="14.5" x14ac:dyDescent="0.35">
      <c r="A7" s="16">
        <f ca="1">IFERROR(__xludf.dummyfunction("""COMPUTED_VALUE"""),60)</f>
        <v>60</v>
      </c>
      <c r="B7" s="5" t="str">
        <f ca="1">IFERROR(__xludf.dummyfunction("""COMPUTED_VALUE"""),"Pippa Preston")</f>
        <v>Pippa Preston</v>
      </c>
      <c r="C7" s="5" t="str">
        <f ca="1">IFERROR(__xludf.dummyfunction("""COMPUTED_VALUE"""),"Kings Hawford School")</f>
        <v>Kings Hawford School</v>
      </c>
      <c r="D7" s="16" t="s">
        <v>265</v>
      </c>
      <c r="E7" s="22">
        <f ca="1">IFERROR(__xludf.dummyfunction("iferror(1000+INT(($N$2-(index(split(D15,"":""),1)*60+index(split(D15,"":""),2 )))/0.2+1)*$N$3,"""")"),1150)</f>
        <v>1150</v>
      </c>
      <c r="F7" s="16">
        <f ca="1">IFERROR(_xlfn.RANK.EQ(E7,E:E),"")</f>
        <v>3</v>
      </c>
      <c r="G7" s="16" t="s">
        <v>266</v>
      </c>
      <c r="H7" s="22">
        <f ca="1">IFERROR(__xludf.dummyfunction("iferror(1000+INT(($N$4-(index(split(G15,"":""),1)*60+index(split(G15,"":""),2 )))/0.2+1)*$N$5,"""")"),760)</f>
        <v>760</v>
      </c>
      <c r="I7" s="16">
        <f ca="1">IFERROR(_xlfn.RANK.EQ(H7,H:H),"")</f>
        <v>7</v>
      </c>
      <c r="J7" s="22">
        <f t="shared" ca="1" si="0"/>
        <v>1910</v>
      </c>
      <c r="K7" s="16">
        <f ca="1">IFERROR(_xlfn.RANK.EQ(J7,J:J),"")</f>
        <v>6</v>
      </c>
      <c r="L7" s="16"/>
    </row>
    <row r="8" spans="1:14" ht="14.5" x14ac:dyDescent="0.35">
      <c r="A8" s="16">
        <f ca="1">IFERROR(__xludf.dummyfunction("""COMPUTED_VALUE"""),55)</f>
        <v>55</v>
      </c>
      <c r="B8" s="5" t="str">
        <f ca="1">IFERROR(__xludf.dummyfunction("""COMPUTED_VALUE"""),"Maggie Lees")</f>
        <v>Maggie Lees</v>
      </c>
      <c r="C8" s="5" t="str">
        <f ca="1">IFERROR(__xludf.dummyfunction("""COMPUTED_VALUE"""),"St Charles RC Primary School")</f>
        <v>St Charles RC Primary School</v>
      </c>
      <c r="D8" s="16" t="s">
        <v>257</v>
      </c>
      <c r="E8" s="22">
        <f ca="1">IFERROR(__xludf.dummyfunction("iferror(1000+INT(($N$2-(index(split(D10,"":""),1)*60+index(split(D10,"":""),2 )))/0.2+1)*$N$3,"""")"),976)</f>
        <v>976</v>
      </c>
      <c r="F8" s="16">
        <f ca="1">IFERROR(_xlfn.RANK.EQ(E8,E:E),"")</f>
        <v>8</v>
      </c>
      <c r="G8" s="16" t="s">
        <v>258</v>
      </c>
      <c r="H8" s="22">
        <f ca="1">IFERROR(__xludf.dummyfunction("iferror(1000+INT(($N$4-(index(split(G10,"":""),1)*60+index(split(G10,"":""),2 )))/0.2+1)*$N$5,"""")"),781)</f>
        <v>781</v>
      </c>
      <c r="I8" s="16">
        <f ca="1">IFERROR(_xlfn.RANK.EQ(H8,H:H),"")</f>
        <v>6</v>
      </c>
      <c r="J8" s="22">
        <f t="shared" ca="1" si="0"/>
        <v>1757</v>
      </c>
      <c r="K8" s="16">
        <f ca="1">IFERROR(_xlfn.RANK.EQ(J8,J:J),"")</f>
        <v>7</v>
      </c>
      <c r="L8" s="16"/>
    </row>
    <row r="9" spans="1:14" ht="14.5" x14ac:dyDescent="0.35">
      <c r="A9" s="16">
        <f ca="1">IFERROR(__xludf.dummyfunction("""COMPUTED_VALUE"""),58)</f>
        <v>58</v>
      </c>
      <c r="B9" s="5" t="str">
        <f ca="1">IFERROR(__xludf.dummyfunction("""COMPUTED_VALUE"""),"Lucy Clarke")</f>
        <v>Lucy Clarke</v>
      </c>
      <c r="C9" s="5" t="str">
        <f ca="1">IFERROR(__xludf.dummyfunction("""COMPUTED_VALUE"""),"Bretherton Endowed CE Primary")</f>
        <v>Bretherton Endowed CE Primary</v>
      </c>
      <c r="D9" s="16" t="s">
        <v>263</v>
      </c>
      <c r="E9" s="22">
        <f ca="1">IFERROR(__xludf.dummyfunction("iferror(1000+INT(($N$2-(index(split(D13,"":""),1)*60+index(split(D13,"":""),2 )))/0.2+1)*$N$3,"""")"),1090)</f>
        <v>1090</v>
      </c>
      <c r="F9" s="16">
        <f ca="1">IFERROR(_xlfn.RANK.EQ(E9,E:E),"")</f>
        <v>6</v>
      </c>
      <c r="G9" s="16" t="s">
        <v>264</v>
      </c>
      <c r="H9" s="22">
        <f ca="1">IFERROR(__xludf.dummyfunction("iferror(1000+INT(($N$4-(index(split(G13,"":""),1)*60+index(split(G13,"":""),2 )))/0.2+1)*$N$5,"""")"),640)</f>
        <v>640</v>
      </c>
      <c r="I9" s="16">
        <f ca="1">IFERROR(_xlfn.RANK.EQ(H9,H:H),"")</f>
        <v>8</v>
      </c>
      <c r="J9" s="22">
        <f t="shared" ca="1" si="0"/>
        <v>1730</v>
      </c>
      <c r="K9" s="16">
        <f ca="1">IFERROR(_xlfn.RANK.EQ(J9,J:J),"")</f>
        <v>8</v>
      </c>
      <c r="L9" s="16"/>
    </row>
    <row r="10" spans="1:14" ht="14.5" x14ac:dyDescent="0.35">
      <c r="A10" s="16">
        <f ca="1">IFERROR(__xludf.dummyfunction("""COMPUTED_VALUE"""),56)</f>
        <v>56</v>
      </c>
      <c r="B10" s="5" t="str">
        <f ca="1">IFERROR(__xludf.dummyfunction("""COMPUTED_VALUE"""),"Sophie Rawlinson")</f>
        <v>Sophie Rawlinson</v>
      </c>
      <c r="C10" s="5" t="str">
        <f ca="1">IFERROR(__xludf.dummyfunction("""COMPUTED_VALUE"""),"Manor Road Primary School")</f>
        <v>Manor Road Primary School</v>
      </c>
      <c r="D10" s="16" t="s">
        <v>259</v>
      </c>
      <c r="E10" s="22">
        <f ca="1">IFERROR(__xludf.dummyfunction("iferror(1000+INT(($N$2-(index(split(D11,"":""),1)*60+index(split(D11,"":""),2 )))/0.2+1)*$N$3,"""")"),964)</f>
        <v>964</v>
      </c>
      <c r="F10" s="16">
        <f ca="1">IFERROR(_xlfn.RANK.EQ(E10,E:E),"")</f>
        <v>10</v>
      </c>
      <c r="G10" s="16" t="s">
        <v>260</v>
      </c>
      <c r="H10" s="22">
        <f ca="1">IFERROR(__xludf.dummyfunction("iferror(1000+INT(($N$4-(index(split(G11,"":""),1)*60+index(split(G11,"":""),2 )))/0.2+1)*$N$5,"""")"),610)</f>
        <v>610</v>
      </c>
      <c r="I10" s="16">
        <f ca="1">IFERROR(_xlfn.RANK.EQ(H10,H:H),"")</f>
        <v>9</v>
      </c>
      <c r="J10" s="22">
        <f t="shared" ca="1" si="0"/>
        <v>1574</v>
      </c>
      <c r="K10" s="16">
        <f ca="1">IFERROR(_xlfn.RANK.EQ(J10,J:J),"")</f>
        <v>9</v>
      </c>
      <c r="L10" s="16"/>
    </row>
    <row r="11" spans="1:14" ht="14.5" x14ac:dyDescent="0.35">
      <c r="A11" s="16">
        <f ca="1">IFERROR(__xludf.dummyfunction("""COMPUTED_VALUE"""),49)</f>
        <v>49</v>
      </c>
      <c r="B11" s="5" t="str">
        <f ca="1">IFERROR(__xludf.dummyfunction("""COMPUTED_VALUE"""),"Eleanor Martin")</f>
        <v>Eleanor Martin</v>
      </c>
      <c r="C11" s="5" t="str">
        <f ca="1">IFERROR(__xludf.dummyfunction("""COMPUTED_VALUE"""),"Mylnhurst Preparatory School")</f>
        <v>Mylnhurst Preparatory School</v>
      </c>
      <c r="D11" s="16" t="s">
        <v>247</v>
      </c>
      <c r="E11" s="22">
        <f ca="1">IFERROR(__xludf.dummyfunction("iferror(1000+INT(($N$2-(index(split(D4,"":""),1)*60+index(split(D4,"":""),2 )))/0.2+1)*$N$3,"""")"),952)</f>
        <v>952</v>
      </c>
      <c r="F11" s="16">
        <f ca="1">IFERROR(_xlfn.RANK.EQ(E11,E:E),"")</f>
        <v>11</v>
      </c>
      <c r="G11" s="16" t="s">
        <v>248</v>
      </c>
      <c r="H11" s="22">
        <f ca="1">IFERROR(__xludf.dummyfunction("iferror(1000+INT(($N$4-(index(split(G4,"":""),1)*60+index(split(G4,"":""),2 )))/0.2+1)*$N$5,"""")"),592)</f>
        <v>592</v>
      </c>
      <c r="I11" s="16">
        <f ca="1">IFERROR(_xlfn.RANK.EQ(H11,H:H),"")</f>
        <v>10</v>
      </c>
      <c r="J11" s="22">
        <f t="shared" ca="1" si="0"/>
        <v>1544</v>
      </c>
      <c r="K11" s="16">
        <f ca="1">IFERROR(_xlfn.RANK.EQ(J11,J:J),"")</f>
        <v>10</v>
      </c>
      <c r="L11" s="16"/>
    </row>
    <row r="12" spans="1:14" ht="14.5" x14ac:dyDescent="0.35">
      <c r="A12" s="16">
        <f ca="1">IFERROR(__xludf.dummyfunction("""COMPUTED_VALUE"""),54)</f>
        <v>54</v>
      </c>
      <c r="B12" s="5" t="str">
        <f ca="1">IFERROR(__xludf.dummyfunction("""COMPUTED_VALUE"""),"Evie McAvoy")</f>
        <v>Evie McAvoy</v>
      </c>
      <c r="C12" s="5" t="str">
        <f ca="1">IFERROR(__xludf.dummyfunction("""COMPUTED_VALUE"""),"Heron Hill Primary School")</f>
        <v>Heron Hill Primary School</v>
      </c>
      <c r="D12" s="16" t="s">
        <v>255</v>
      </c>
      <c r="E12" s="22">
        <f ca="1">IFERROR(__xludf.dummyfunction("iferror(1000+INT(($N$2-(index(split(D9,"":""),1)*60+index(split(D9,"":""),2 )))/0.2+1)*$N$3,"""")"),1054)</f>
        <v>1054</v>
      </c>
      <c r="F12" s="16">
        <f ca="1">IFERROR(_xlfn.RANK.EQ(E12,E:E),"")</f>
        <v>7</v>
      </c>
      <c r="G12" s="16" t="s">
        <v>256</v>
      </c>
      <c r="H12" s="22">
        <f ca="1">IFERROR(__xludf.dummyfunction("iferror(1000+INT(($N$4-(index(split(G9,"":""),1)*60+index(split(G9,"":""),2 )))/0.2+1)*$N$5,"""")"),424)</f>
        <v>424</v>
      </c>
      <c r="I12" s="16">
        <f ca="1">IFERROR(_xlfn.RANK.EQ(H12,H:H),"")</f>
        <v>11</v>
      </c>
      <c r="J12" s="22">
        <f t="shared" ca="1" si="0"/>
        <v>1478</v>
      </c>
      <c r="K12" s="16">
        <f ca="1">IFERROR(_xlfn.RANK.EQ(J12,J:J),"")</f>
        <v>11</v>
      </c>
      <c r="L12" s="16"/>
    </row>
    <row r="13" spans="1:14" ht="14.5" x14ac:dyDescent="0.35">
      <c r="A13" s="16">
        <f ca="1">IFERROR(__xludf.dummyfunction("""COMPUTED_VALUE"""),50)</f>
        <v>50</v>
      </c>
      <c r="B13" s="5" t="str">
        <f ca="1">IFERROR(__xludf.dummyfunction("""COMPUTED_VALUE"""),"Ayaanah Lulat")</f>
        <v>Ayaanah Lulat</v>
      </c>
      <c r="C13" s="5" t="str">
        <f ca="1">IFERROR(__xludf.dummyfunction("""COMPUTED_VALUE"""),"Broughton CE Primary School")</f>
        <v>Broughton CE Primary School</v>
      </c>
      <c r="D13" s="16" t="s">
        <v>249</v>
      </c>
      <c r="E13" s="22">
        <f ca="1">IFERROR(__xludf.dummyfunction("iferror(1000+INT(($N$2-(index(split(D5,"":""),1)*60+index(split(D5,"":""),2 )))/0.2+1)*$N$3,"""")"),910)</f>
        <v>910</v>
      </c>
      <c r="F13" s="16">
        <f ca="1">IFERROR(_xlfn.RANK.EQ(E13,E:E),"")</f>
        <v>12</v>
      </c>
      <c r="G13" s="16" t="s">
        <v>250</v>
      </c>
      <c r="H13" s="22">
        <f ca="1">IFERROR(__xludf.dummyfunction("iferror(1000+INT(($N$4-(index(split(G5,"":""),1)*60+index(split(G5,"":""),2 )))/0.2+1)*$N$5,"""")"),-20)</f>
        <v>-20</v>
      </c>
      <c r="I13" s="16">
        <f ca="1">IFERROR(_xlfn.RANK.EQ(H13,H:H),"")</f>
        <v>12</v>
      </c>
      <c r="J13" s="22">
        <f t="shared" ca="1" si="0"/>
        <v>890</v>
      </c>
      <c r="K13" s="16">
        <f ca="1">IFERROR(_xlfn.RANK.EQ(J13,J:J),"")</f>
        <v>12</v>
      </c>
      <c r="L13" s="16"/>
    </row>
    <row r="14" spans="1:14" ht="14.5" x14ac:dyDescent="0.35">
      <c r="A14" s="28">
        <f ca="1">IFERROR(__xludf.dummyfunction("""COMPUTED_VALUE"""),52)</f>
        <v>52</v>
      </c>
      <c r="B14" s="29" t="str">
        <f ca="1">IFERROR(__xludf.dummyfunction("""COMPUTED_VALUE"""),"Poppy Payton")</f>
        <v>Poppy Payton</v>
      </c>
      <c r="C14" s="29" t="str">
        <f ca="1">IFERROR(__xludf.dummyfunction("""COMPUTED_VALUE"""),"Bracken Leas Primary School")</f>
        <v>Bracken Leas Primary School</v>
      </c>
      <c r="D14" s="28"/>
      <c r="E14" s="30" t="str">
        <f ca="1">IFERROR(__xludf.dummyfunction("iferror(1000+INT(($N$2-(index(split(D7,"":""),1)*60+index(split(D7,"":""),2 )))/0.2+1)*$N$3,"""")"),"")</f>
        <v/>
      </c>
      <c r="F14" s="28" t="str">
        <f ca="1">IFERROR(_xlfn.RANK.EQ(E14,E:E),"")</f>
        <v/>
      </c>
      <c r="G14" s="28"/>
      <c r="H14" s="30" t="str">
        <f ca="1">IFERROR(__xludf.dummyfunction("iferror(1000+INT(($N$4-(index(split(G7,"":""),1)*60+index(split(G7,"":""),2 )))/0.2+1)*$N$5,"""")"),"")</f>
        <v/>
      </c>
      <c r="I14" s="28" t="str">
        <f ca="1">IFERROR(_xlfn.RANK.EQ(H14,H:H),"")</f>
        <v/>
      </c>
      <c r="J14" s="30" t="str">
        <f t="shared" si="0"/>
        <v/>
      </c>
      <c r="K14" s="28" t="s">
        <v>444</v>
      </c>
      <c r="L14" s="16"/>
    </row>
    <row r="15" spans="1:14" ht="14.5" x14ac:dyDescent="0.35">
      <c r="A15" s="28">
        <f ca="1">IFERROR(__xludf.dummyfunction("""COMPUTED_VALUE"""),59)</f>
        <v>59</v>
      </c>
      <c r="B15" s="29" t="str">
        <f ca="1">IFERROR(__xludf.dummyfunction("""COMPUTED_VALUE"""),"Amelie Schofield")</f>
        <v>Amelie Schofield</v>
      </c>
      <c r="C15" s="29" t="str">
        <f ca="1">IFERROR(__xludf.dummyfunction("""COMPUTED_VALUE"""),"Broughton CE Primary School")</f>
        <v>Broughton CE Primary School</v>
      </c>
      <c r="D15" s="28"/>
      <c r="E15" s="30" t="str">
        <f ca="1">IFERROR(__xludf.dummyfunction("iferror(1000+INT(($N$2-(index(split(D14,"":""),1)*60+index(split(D14,"":""),2 )))/0.2+1)*$N$3,"""")"),"")</f>
        <v/>
      </c>
      <c r="F15" s="28" t="str">
        <f ca="1">IFERROR(_xlfn.RANK.EQ(E15,E:E),"")</f>
        <v/>
      </c>
      <c r="G15" s="28"/>
      <c r="H15" s="30" t="str">
        <f ca="1">IFERROR(__xludf.dummyfunction("iferror(1000+INT(($N$4-(index(split(G14,"":""),1)*60+index(split(G14,"":""),2 )))/0.2+1)*$N$5,"""")"),"")</f>
        <v/>
      </c>
      <c r="I15" s="28" t="str">
        <f ca="1">IFERROR(_xlfn.RANK.EQ(H15,H:H),"")</f>
        <v/>
      </c>
      <c r="J15" s="30" t="str">
        <f t="shared" si="0"/>
        <v/>
      </c>
      <c r="K15" s="28" t="s">
        <v>444</v>
      </c>
      <c r="L15" s="16"/>
    </row>
    <row r="16" spans="1:14" ht="14.5" x14ac:dyDescent="0.35">
      <c r="A16" s="16"/>
      <c r="B16" s="16"/>
      <c r="C16" s="16"/>
      <c r="D16" s="16"/>
      <c r="E16" s="22" t="str">
        <f ca="1">IFERROR(__xludf.dummyfunction("iferror(1000+INT(($N$2-(index(split(D16,"":""),1)*60+index(split(D16,"":""),2 )))/0.2+1)*$N$3,"""")"),"")</f>
        <v/>
      </c>
      <c r="F16" s="16" t="str">
        <f t="shared" ref="F2:F33" ca="1" si="1">IFERROR(_xlfn.RANK.EQ(E16,E:E),"")</f>
        <v/>
      </c>
      <c r="G16" s="16"/>
      <c r="H16" s="22" t="str">
        <f ca="1">IFERROR(__xludf.dummyfunction("iferror(1000+INT(($N$4-(index(split(G16,"":""),1)*60+index(split(G16,"":""),2 )))/0.2+1)*$N$5,"""")"),"")</f>
        <v/>
      </c>
      <c r="I16" s="16" t="str">
        <f t="shared" ref="I2:I33" ca="1" si="2">IFERROR(_xlfn.RANK.EQ(H16,H:H),"")</f>
        <v/>
      </c>
      <c r="J16" s="22" t="str">
        <f t="shared" si="0"/>
        <v/>
      </c>
      <c r="K16" s="16" t="str">
        <f t="shared" ref="K2:K33" si="3">IFERROR(_xlfn.RANK.EQ(J16,J:J),"")</f>
        <v/>
      </c>
      <c r="L16" s="16"/>
    </row>
    <row r="17" spans="1:12" ht="14.5" x14ac:dyDescent="0.35">
      <c r="A17" s="16"/>
      <c r="B17" s="16"/>
      <c r="C17" s="16"/>
      <c r="D17" s="16"/>
      <c r="E17" s="22" t="str">
        <f ca="1">IFERROR(__xludf.dummyfunction("iferror(1000+INT(($N$2-(index(split(D17,"":""),1)*60+index(split(D17,"":""),2 )))/0.2+1)*$N$3,"""")"),"")</f>
        <v/>
      </c>
      <c r="F17" s="16" t="str">
        <f t="shared" ca="1" si="1"/>
        <v/>
      </c>
      <c r="G17" s="16"/>
      <c r="H17" s="22" t="str">
        <f ca="1">IFERROR(__xludf.dummyfunction("iferror(1000+INT(($N$4-(index(split(G17,"":""),1)*60+index(split(G17,"":""),2 )))/0.2+1)*$N$5,"""")"),"")</f>
        <v/>
      </c>
      <c r="I17" s="16" t="str">
        <f t="shared" ca="1" si="2"/>
        <v/>
      </c>
      <c r="J17" s="22" t="str">
        <f t="shared" si="0"/>
        <v/>
      </c>
      <c r="K17" s="16" t="str">
        <f t="shared" si="3"/>
        <v/>
      </c>
      <c r="L17" s="16"/>
    </row>
    <row r="18" spans="1:12" ht="14.5" x14ac:dyDescent="0.35">
      <c r="A18" s="16"/>
      <c r="B18" s="16"/>
      <c r="C18" s="16"/>
      <c r="D18" s="16"/>
      <c r="E18" s="22" t="str">
        <f ca="1">IFERROR(__xludf.dummyfunction("iferror(1000+INT(($N$2-(index(split(D18,"":""),1)*60+index(split(D18,"":""),2 )))/0.2+1)*$N$3,"""")"),"")</f>
        <v/>
      </c>
      <c r="F18" s="16" t="str">
        <f t="shared" ca="1" si="1"/>
        <v/>
      </c>
      <c r="G18" s="16"/>
      <c r="H18" s="22" t="str">
        <f ca="1">IFERROR(__xludf.dummyfunction("iferror(1000+INT(($N$4-(index(split(G18,"":""),1)*60+index(split(G18,"":""),2 )))/0.2+1)*$N$5,"""")"),"")</f>
        <v/>
      </c>
      <c r="I18" s="16" t="str">
        <f t="shared" ca="1" si="2"/>
        <v/>
      </c>
      <c r="J18" s="22" t="str">
        <f t="shared" si="0"/>
        <v/>
      </c>
      <c r="K18" s="16" t="str">
        <f t="shared" si="3"/>
        <v/>
      </c>
      <c r="L18" s="16"/>
    </row>
    <row r="19" spans="1:12" ht="14.5" x14ac:dyDescent="0.35">
      <c r="A19" s="16"/>
      <c r="B19" s="16"/>
      <c r="C19" s="16"/>
      <c r="D19" s="16"/>
      <c r="E19" s="22" t="str">
        <f ca="1">IFERROR(__xludf.dummyfunction("iferror(1000+INT(($N$2-(index(split(D19,"":""),1)*60+index(split(D19,"":""),2 )))/0.2+1)*$N$3,"""")"),"")</f>
        <v/>
      </c>
      <c r="F19" s="16" t="str">
        <f t="shared" ca="1" si="1"/>
        <v/>
      </c>
      <c r="G19" s="16"/>
      <c r="H19" s="22" t="str">
        <f ca="1">IFERROR(__xludf.dummyfunction("iferror(1000+INT(($N$4-(index(split(G19,"":""),1)*60+index(split(G19,"":""),2 )))/0.2+1)*$N$5,"""")"),"")</f>
        <v/>
      </c>
      <c r="I19" s="16" t="str">
        <f t="shared" ca="1" si="2"/>
        <v/>
      </c>
      <c r="J19" s="22" t="str">
        <f t="shared" si="0"/>
        <v/>
      </c>
      <c r="K19" s="16" t="str">
        <f t="shared" si="3"/>
        <v/>
      </c>
      <c r="L19" s="16"/>
    </row>
    <row r="20" spans="1:12" ht="14.5" x14ac:dyDescent="0.35">
      <c r="A20" s="16"/>
      <c r="B20" s="16"/>
      <c r="C20" s="16"/>
      <c r="D20" s="16"/>
      <c r="E20" s="22" t="str">
        <f ca="1">IFERROR(__xludf.dummyfunction("iferror(1000+INT(($N$2-(index(split(D20,"":""),1)*60+index(split(D20,"":""),2 )))/0.2+1)*$N$3,"""")"),"")</f>
        <v/>
      </c>
      <c r="F20" s="16" t="str">
        <f t="shared" ca="1" si="1"/>
        <v/>
      </c>
      <c r="G20" s="16"/>
      <c r="H20" s="22" t="str">
        <f ca="1">IFERROR(__xludf.dummyfunction("iferror(1000+INT(($N$4-(index(split(G20,"":""),1)*60+index(split(G20,"":""),2 )))/0.2+1)*$N$5,"""")"),"")</f>
        <v/>
      </c>
      <c r="I20" s="16" t="str">
        <f t="shared" ca="1" si="2"/>
        <v/>
      </c>
      <c r="J20" s="22" t="str">
        <f t="shared" si="0"/>
        <v/>
      </c>
      <c r="K20" s="16" t="str">
        <f t="shared" si="3"/>
        <v/>
      </c>
      <c r="L20" s="16"/>
    </row>
    <row r="21" spans="1:12" ht="14.5" x14ac:dyDescent="0.35">
      <c r="A21" s="16"/>
      <c r="B21" s="16"/>
      <c r="C21" s="16"/>
      <c r="D21" s="16"/>
      <c r="E21" s="22" t="str">
        <f ca="1">IFERROR(__xludf.dummyfunction("iferror(1000+INT(($N$2-(index(split(D21,"":""),1)*60+index(split(D21,"":""),2 )))/0.2+1)*$N$3,"""")"),"")</f>
        <v/>
      </c>
      <c r="F21" s="16" t="str">
        <f t="shared" ca="1" si="1"/>
        <v/>
      </c>
      <c r="G21" s="16"/>
      <c r="H21" s="22" t="str">
        <f ca="1">IFERROR(__xludf.dummyfunction("iferror(1000+INT(($N$4-(index(split(G21,"":""),1)*60+index(split(G21,"":""),2 )))/0.2+1)*$N$5,"""")"),"")</f>
        <v/>
      </c>
      <c r="I21" s="16" t="str">
        <f t="shared" ca="1" si="2"/>
        <v/>
      </c>
      <c r="J21" s="22" t="str">
        <f t="shared" si="0"/>
        <v/>
      </c>
      <c r="K21" s="16" t="str">
        <f t="shared" si="3"/>
        <v/>
      </c>
      <c r="L21" s="16"/>
    </row>
    <row r="22" spans="1:12" ht="14.5" x14ac:dyDescent="0.35">
      <c r="A22" s="16"/>
      <c r="B22" s="16"/>
      <c r="C22" s="16"/>
      <c r="D22" s="16"/>
      <c r="E22" s="22" t="str">
        <f ca="1">IFERROR(__xludf.dummyfunction("iferror(1000+INT(($N$2-(index(split(D22,"":""),1)*60+index(split(D22,"":""),2 )))/0.2+1)*$N$3,"""")"),"")</f>
        <v/>
      </c>
      <c r="F22" s="16" t="str">
        <f t="shared" ca="1" si="1"/>
        <v/>
      </c>
      <c r="G22" s="16"/>
      <c r="H22" s="22" t="str">
        <f ca="1">IFERROR(__xludf.dummyfunction("iferror(1000+INT(($N$4-(index(split(G22,"":""),1)*60+index(split(G22,"":""),2 )))/0.2+1)*$N$5,"""")"),"")</f>
        <v/>
      </c>
      <c r="I22" s="16" t="str">
        <f t="shared" ca="1" si="2"/>
        <v/>
      </c>
      <c r="J22" s="22" t="str">
        <f t="shared" si="0"/>
        <v/>
      </c>
      <c r="K22" s="16" t="str">
        <f t="shared" si="3"/>
        <v/>
      </c>
      <c r="L22" s="16"/>
    </row>
    <row r="23" spans="1:12" ht="14.5" x14ac:dyDescent="0.35">
      <c r="A23" s="16"/>
      <c r="B23" s="16"/>
      <c r="C23" s="16"/>
      <c r="D23" s="16"/>
      <c r="E23" s="22" t="str">
        <f ca="1">IFERROR(__xludf.dummyfunction("iferror(1000+INT(($N$2-(index(split(D23,"":""),1)*60+index(split(D23,"":""),2 )))/0.2+1)*$N$3,"""")"),"")</f>
        <v/>
      </c>
      <c r="F23" s="16" t="str">
        <f t="shared" ca="1" si="1"/>
        <v/>
      </c>
      <c r="G23" s="16"/>
      <c r="H23" s="22" t="str">
        <f ca="1">IFERROR(__xludf.dummyfunction("iferror(1000+INT(($N$4-(index(split(G23,"":""),1)*60+index(split(G23,"":""),2 )))/0.2+1)*$N$5,"""")"),"")</f>
        <v/>
      </c>
      <c r="I23" s="16" t="str">
        <f t="shared" ca="1" si="2"/>
        <v/>
      </c>
      <c r="J23" s="22" t="str">
        <f t="shared" si="0"/>
        <v/>
      </c>
      <c r="K23" s="16" t="str">
        <f t="shared" si="3"/>
        <v/>
      </c>
      <c r="L23" s="16"/>
    </row>
    <row r="24" spans="1:12" ht="14.5" x14ac:dyDescent="0.35">
      <c r="A24" s="16"/>
      <c r="B24" s="16"/>
      <c r="C24" s="16"/>
      <c r="D24" s="16"/>
      <c r="E24" s="22" t="str">
        <f ca="1">IFERROR(__xludf.dummyfunction("iferror(1000+INT(($N$2-(index(split(D24,"":""),1)*60+index(split(D24,"":""),2 )))/0.2+1)*$N$3,"""")"),"")</f>
        <v/>
      </c>
      <c r="F24" s="16" t="str">
        <f t="shared" ca="1" si="1"/>
        <v/>
      </c>
      <c r="G24" s="16"/>
      <c r="H24" s="22" t="str">
        <f ca="1">IFERROR(__xludf.dummyfunction("iferror(1000+INT(($N$4-(index(split(G24,"":""),1)*60+index(split(G24,"":""),2 )))/0.2+1)*$N$5,"""")"),"")</f>
        <v/>
      </c>
      <c r="I24" s="16" t="str">
        <f t="shared" ca="1" si="2"/>
        <v/>
      </c>
      <c r="J24" s="22" t="str">
        <f t="shared" si="0"/>
        <v/>
      </c>
      <c r="K24" s="16" t="str">
        <f t="shared" si="3"/>
        <v/>
      </c>
      <c r="L24" s="16"/>
    </row>
    <row r="25" spans="1:12" ht="14.5" x14ac:dyDescent="0.35">
      <c r="A25" s="16"/>
      <c r="B25" s="16"/>
      <c r="C25" s="16"/>
      <c r="D25" s="16"/>
      <c r="E25" s="22" t="str">
        <f ca="1">IFERROR(__xludf.dummyfunction("iferror(1000+INT(($N$2-(index(split(D25,"":""),1)*60+index(split(D25,"":""),2 )))/0.2+1)*$N$3,"""")"),"")</f>
        <v/>
      </c>
      <c r="F25" s="16" t="str">
        <f t="shared" ca="1" si="1"/>
        <v/>
      </c>
      <c r="G25" s="16"/>
      <c r="H25" s="22" t="str">
        <f ca="1">IFERROR(__xludf.dummyfunction("iferror(1000+INT(($N$4-(index(split(G25,"":""),1)*60+index(split(G25,"":""),2 )))/0.2+1)*$N$5,"""")"),"")</f>
        <v/>
      </c>
      <c r="I25" s="16" t="str">
        <f t="shared" ca="1" si="2"/>
        <v/>
      </c>
      <c r="J25" s="22" t="str">
        <f t="shared" si="0"/>
        <v/>
      </c>
      <c r="K25" s="16" t="str">
        <f t="shared" si="3"/>
        <v/>
      </c>
      <c r="L25" s="16"/>
    </row>
    <row r="26" spans="1:12" ht="14.5" x14ac:dyDescent="0.35">
      <c r="A26" s="16"/>
      <c r="B26" s="16"/>
      <c r="C26" s="16"/>
      <c r="D26" s="16"/>
      <c r="E26" s="22" t="str">
        <f ca="1">IFERROR(__xludf.dummyfunction("iferror(1000+INT(($N$2-(index(split(D26,"":""),1)*60+index(split(D26,"":""),2 )))/0.2+1)*$N$3,"""")"),"")</f>
        <v/>
      </c>
      <c r="F26" s="16" t="str">
        <f t="shared" ca="1" si="1"/>
        <v/>
      </c>
      <c r="G26" s="16"/>
      <c r="H26" s="22" t="str">
        <f ca="1">IFERROR(__xludf.dummyfunction("iferror(1000+INT(($N$4-(index(split(G26,"":""),1)*60+index(split(G26,"":""),2 )))/0.2+1)*$N$5,"""")"),"")</f>
        <v/>
      </c>
      <c r="I26" s="16" t="str">
        <f t="shared" ca="1" si="2"/>
        <v/>
      </c>
      <c r="J26" s="22" t="str">
        <f t="shared" si="0"/>
        <v/>
      </c>
      <c r="K26" s="16" t="str">
        <f t="shared" si="3"/>
        <v/>
      </c>
      <c r="L26" s="16"/>
    </row>
    <row r="27" spans="1:12" ht="14.5" x14ac:dyDescent="0.35">
      <c r="A27" s="16"/>
      <c r="B27" s="16"/>
      <c r="C27" s="16"/>
      <c r="D27" s="16"/>
      <c r="E27" s="22" t="str">
        <f ca="1">IFERROR(__xludf.dummyfunction("iferror(1000+INT(($N$2-(index(split(D27,"":""),1)*60+index(split(D27,"":""),2 )))/0.2+1)*$N$3,"""")"),"")</f>
        <v/>
      </c>
      <c r="F27" s="16" t="str">
        <f t="shared" ca="1" si="1"/>
        <v/>
      </c>
      <c r="G27" s="16"/>
      <c r="H27" s="22" t="str">
        <f ca="1">IFERROR(__xludf.dummyfunction("iferror(1000+INT(($N$4-(index(split(G27,"":""),1)*60+index(split(G27,"":""),2 )))/0.2+1)*$N$5,"""")"),"")</f>
        <v/>
      </c>
      <c r="I27" s="16" t="str">
        <f t="shared" ca="1" si="2"/>
        <v/>
      </c>
      <c r="J27" s="22" t="str">
        <f t="shared" si="0"/>
        <v/>
      </c>
      <c r="K27" s="16" t="str">
        <f t="shared" si="3"/>
        <v/>
      </c>
      <c r="L27" s="16"/>
    </row>
    <row r="28" spans="1:12" ht="14.5" x14ac:dyDescent="0.35">
      <c r="A28" s="16"/>
      <c r="B28" s="16"/>
      <c r="C28" s="16"/>
      <c r="D28" s="16"/>
      <c r="E28" s="22" t="str">
        <f ca="1">IFERROR(__xludf.dummyfunction("iferror(1000+INT(($N$2-(index(split(D28,"":""),1)*60+index(split(D28,"":""),2 )))/0.2+1)*$N$3,"""")"),"")</f>
        <v/>
      </c>
      <c r="F28" s="16" t="str">
        <f t="shared" ca="1" si="1"/>
        <v/>
      </c>
      <c r="G28" s="16"/>
      <c r="H28" s="22" t="str">
        <f ca="1">IFERROR(__xludf.dummyfunction("iferror(1000+INT(($N$4-(index(split(G28,"":""),1)*60+index(split(G28,"":""),2 )))/0.2+1)*$N$5,"""")"),"")</f>
        <v/>
      </c>
      <c r="I28" s="16" t="str">
        <f t="shared" ca="1" si="2"/>
        <v/>
      </c>
      <c r="J28" s="22" t="str">
        <f t="shared" si="0"/>
        <v/>
      </c>
      <c r="K28" s="16" t="str">
        <f t="shared" si="3"/>
        <v/>
      </c>
      <c r="L28" s="16"/>
    </row>
    <row r="29" spans="1:12" ht="14.5" x14ac:dyDescent="0.35">
      <c r="A29" s="16"/>
      <c r="B29" s="16"/>
      <c r="C29" s="16"/>
      <c r="D29" s="16"/>
      <c r="E29" s="22" t="str">
        <f ca="1">IFERROR(__xludf.dummyfunction("iferror(1000+INT(($N$2-(index(split(D29,"":""),1)*60+index(split(D29,"":""),2 )))/0.2+1)*$N$3,"""")"),"")</f>
        <v/>
      </c>
      <c r="F29" s="16" t="str">
        <f t="shared" ca="1" si="1"/>
        <v/>
      </c>
      <c r="G29" s="16"/>
      <c r="H29" s="22" t="str">
        <f ca="1">IFERROR(__xludf.dummyfunction("iferror(1000+INT(($N$4-(index(split(G29,"":""),1)*60+index(split(G29,"":""),2 )))/0.2+1)*$N$5,"""")"),"")</f>
        <v/>
      </c>
      <c r="I29" s="16" t="str">
        <f t="shared" ca="1" si="2"/>
        <v/>
      </c>
      <c r="J29" s="22" t="str">
        <f t="shared" si="0"/>
        <v/>
      </c>
      <c r="K29" s="16" t="str">
        <f t="shared" si="3"/>
        <v/>
      </c>
      <c r="L29" s="16"/>
    </row>
    <row r="30" spans="1:12" ht="14.5" x14ac:dyDescent="0.35">
      <c r="A30" s="16"/>
      <c r="B30" s="16"/>
      <c r="C30" s="16"/>
      <c r="D30" s="16"/>
      <c r="E30" s="22" t="str">
        <f ca="1">IFERROR(__xludf.dummyfunction("iferror(1000+INT(($N$2-(index(split(D30,"":""),1)*60+index(split(D30,"":""),2 )))/0.2+1)*$N$3,"""")"),"")</f>
        <v/>
      </c>
      <c r="F30" s="16" t="str">
        <f t="shared" ca="1" si="1"/>
        <v/>
      </c>
      <c r="G30" s="16"/>
      <c r="H30" s="22" t="str">
        <f ca="1">IFERROR(__xludf.dummyfunction("iferror(1000+INT(($N$4-(index(split(G30,"":""),1)*60+index(split(G30,"":""),2 )))/0.2+1)*$N$5,"""")"),"")</f>
        <v/>
      </c>
      <c r="I30" s="16" t="str">
        <f t="shared" ca="1" si="2"/>
        <v/>
      </c>
      <c r="J30" s="22" t="str">
        <f t="shared" si="0"/>
        <v/>
      </c>
      <c r="K30" s="16" t="str">
        <f t="shared" si="3"/>
        <v/>
      </c>
      <c r="L30" s="16"/>
    </row>
    <row r="31" spans="1:12" ht="14.5" x14ac:dyDescent="0.35">
      <c r="A31" s="16"/>
      <c r="B31" s="16"/>
      <c r="C31" s="16"/>
      <c r="D31" s="16"/>
      <c r="E31" s="22" t="str">
        <f ca="1">IFERROR(__xludf.dummyfunction("iferror(1000+INT(($N$2-(index(split(D31,"":""),1)*60+index(split(D31,"":""),2 )))/0.2+1)*$N$3,"""")"),"")</f>
        <v/>
      </c>
      <c r="F31" s="16" t="str">
        <f t="shared" ca="1" si="1"/>
        <v/>
      </c>
      <c r="G31" s="16"/>
      <c r="H31" s="22" t="str">
        <f ca="1">IFERROR(__xludf.dummyfunction("iferror(1000+INT(($N$4-(index(split(G31,"":""),1)*60+index(split(G31,"":""),2 )))/0.2+1)*$N$5,"""")"),"")</f>
        <v/>
      </c>
      <c r="I31" s="16" t="str">
        <f t="shared" ca="1" si="2"/>
        <v/>
      </c>
      <c r="J31" s="22" t="str">
        <f t="shared" si="0"/>
        <v/>
      </c>
      <c r="K31" s="16" t="str">
        <f t="shared" si="3"/>
        <v/>
      </c>
      <c r="L31" s="16"/>
    </row>
    <row r="32" spans="1:12" ht="14.5" x14ac:dyDescent="0.35">
      <c r="A32" s="16"/>
      <c r="B32" s="16"/>
      <c r="C32" s="16"/>
      <c r="D32" s="16"/>
      <c r="E32" s="22" t="str">
        <f ca="1">IFERROR(__xludf.dummyfunction("iferror(1000+INT(($N$2-(index(split(D32,"":""),1)*60+index(split(D32,"":""),2 )))/0.2+1)*$N$3,"""")"),"")</f>
        <v/>
      </c>
      <c r="F32" s="16" t="str">
        <f t="shared" ca="1" si="1"/>
        <v/>
      </c>
      <c r="G32" s="16"/>
      <c r="H32" s="22" t="str">
        <f ca="1">IFERROR(__xludf.dummyfunction("iferror(1000+INT(($N$4-(index(split(G32,"":""),1)*60+index(split(G32,"":""),2 )))/0.2+1)*$N$5,"""")"),"")</f>
        <v/>
      </c>
      <c r="I32" s="16" t="str">
        <f t="shared" ca="1" si="2"/>
        <v/>
      </c>
      <c r="J32" s="22" t="str">
        <f t="shared" si="0"/>
        <v/>
      </c>
      <c r="K32" s="16" t="str">
        <f t="shared" si="3"/>
        <v/>
      </c>
      <c r="L32" s="16"/>
    </row>
    <row r="33" spans="1:12" ht="14.5" x14ac:dyDescent="0.35">
      <c r="A33" s="16"/>
      <c r="B33" s="16"/>
      <c r="C33" s="16"/>
      <c r="D33" s="16"/>
      <c r="E33" s="22" t="str">
        <f ca="1">IFERROR(__xludf.dummyfunction("iferror(1000+INT(($N$2-(index(split(D33,"":""),1)*60+index(split(D33,"":""),2 )))/0.2+1)*$N$3,"""")"),"")</f>
        <v/>
      </c>
      <c r="F33" s="16" t="str">
        <f t="shared" ca="1" si="1"/>
        <v/>
      </c>
      <c r="G33" s="16"/>
      <c r="H33" s="22" t="str">
        <f ca="1">IFERROR(__xludf.dummyfunction("iferror(1000+INT(($N$4-(index(split(G33,"":""),1)*60+index(split(G33,"":""),2 )))/0.2+1)*$N$5,"""")"),"")</f>
        <v/>
      </c>
      <c r="I33" s="16" t="str">
        <f t="shared" ca="1" si="2"/>
        <v/>
      </c>
      <c r="J33" s="22" t="str">
        <f t="shared" si="0"/>
        <v/>
      </c>
      <c r="K33" s="16" t="str">
        <f t="shared" si="3"/>
        <v/>
      </c>
      <c r="L33" s="16"/>
    </row>
    <row r="34" spans="1:12" ht="14.5" x14ac:dyDescent="0.35">
      <c r="A34" s="16"/>
      <c r="B34" s="16"/>
      <c r="C34" s="16"/>
      <c r="D34" s="16"/>
      <c r="E34" s="22" t="str">
        <f ca="1">IFERROR(__xludf.dummyfunction("iferror(1000+INT(($N$2-(index(split(D34,"":""),1)*60+index(split(D34,"":""),2 )))/0.2+1)*$N$3,"""")"),"")</f>
        <v/>
      </c>
      <c r="F34" s="16" t="str">
        <f t="shared" ref="F34:F65" ca="1" si="4">IFERROR(_xlfn.RANK.EQ(E34,E:E),"")</f>
        <v/>
      </c>
      <c r="G34" s="16"/>
      <c r="H34" s="22" t="str">
        <f ca="1">IFERROR(__xludf.dummyfunction("iferror(1000+INT(($N$4-(index(split(G34,"":""),1)*60+index(split(G34,"":""),2 )))/0.2+1)*$N$5,"""")"),"")</f>
        <v/>
      </c>
      <c r="I34" s="16" t="str">
        <f t="shared" ref="I34:I65" ca="1" si="5">IFERROR(_xlfn.RANK.EQ(H34,H:H),"")</f>
        <v/>
      </c>
      <c r="J34" s="22" t="str">
        <f t="shared" si="0"/>
        <v/>
      </c>
      <c r="K34" s="16" t="str">
        <f t="shared" ref="K34:K65" si="6">IFERROR(_xlfn.RANK.EQ(J34,J:J),"")</f>
        <v/>
      </c>
      <c r="L34" s="16"/>
    </row>
    <row r="35" spans="1:12" ht="14.5" x14ac:dyDescent="0.35">
      <c r="A35" s="16"/>
      <c r="B35" s="16"/>
      <c r="C35" s="16"/>
      <c r="D35" s="16"/>
      <c r="E35" s="22" t="str">
        <f ca="1">IFERROR(__xludf.dummyfunction("iferror(1000+INT(($N$2-(index(split(D35,"":""),1)*60+index(split(D35,"":""),2 )))/0.2+1)*$N$3,"""")"),"")</f>
        <v/>
      </c>
      <c r="F35" s="16" t="str">
        <f t="shared" ca="1" si="4"/>
        <v/>
      </c>
      <c r="G35" s="16"/>
      <c r="H35" s="22" t="str">
        <f ca="1">IFERROR(__xludf.dummyfunction("iferror(1000+INT(($N$4-(index(split(G35,"":""),1)*60+index(split(G35,"":""),2 )))/0.2+1)*$N$5,"""")"),"")</f>
        <v/>
      </c>
      <c r="I35" s="16" t="str">
        <f t="shared" ca="1" si="5"/>
        <v/>
      </c>
      <c r="J35" s="22" t="str">
        <f t="shared" si="0"/>
        <v/>
      </c>
      <c r="K35" s="16" t="str">
        <f t="shared" si="6"/>
        <v/>
      </c>
      <c r="L35" s="16"/>
    </row>
    <row r="36" spans="1:12" ht="14.5" x14ac:dyDescent="0.35">
      <c r="A36" s="16"/>
      <c r="B36" s="16"/>
      <c r="C36" s="16"/>
      <c r="D36" s="16"/>
      <c r="E36" s="22" t="str">
        <f ca="1">IFERROR(__xludf.dummyfunction("iferror(1000+INT(($N$2-(index(split(D36,"":""),1)*60+index(split(D36,"":""),2 )))/0.2+1)*$N$3,"""")"),"")</f>
        <v/>
      </c>
      <c r="F36" s="16" t="str">
        <f t="shared" ca="1" si="4"/>
        <v/>
      </c>
      <c r="G36" s="16"/>
      <c r="H36" s="22" t="str">
        <f ca="1">IFERROR(__xludf.dummyfunction("iferror(1000+INT(($N$4-(index(split(G36,"":""),1)*60+index(split(G36,"":""),2 )))/0.2+1)*$N$5,"""")"),"")</f>
        <v/>
      </c>
      <c r="I36" s="16" t="str">
        <f t="shared" ca="1" si="5"/>
        <v/>
      </c>
      <c r="J36" s="22" t="str">
        <f t="shared" si="0"/>
        <v/>
      </c>
      <c r="K36" s="16" t="str">
        <f t="shared" si="6"/>
        <v/>
      </c>
      <c r="L36" s="16"/>
    </row>
    <row r="37" spans="1:12" ht="14.5" x14ac:dyDescent="0.35">
      <c r="A37" s="16"/>
      <c r="B37" s="16"/>
      <c r="C37" s="16"/>
      <c r="D37" s="16"/>
      <c r="E37" s="22" t="str">
        <f ca="1">IFERROR(__xludf.dummyfunction("iferror(1000+INT(($N$2-(index(split(D37,"":""),1)*60+index(split(D37,"":""),2 )))/0.2+1)*$N$3,"""")"),"")</f>
        <v/>
      </c>
      <c r="F37" s="16" t="str">
        <f t="shared" ca="1" si="4"/>
        <v/>
      </c>
      <c r="G37" s="16"/>
      <c r="H37" s="22" t="str">
        <f ca="1">IFERROR(__xludf.dummyfunction("iferror(1000+INT(($N$4-(index(split(G37,"":""),1)*60+index(split(G37,"":""),2 )))/0.2+1)*$N$5,"""")"),"")</f>
        <v/>
      </c>
      <c r="I37" s="16" t="str">
        <f t="shared" ca="1" si="5"/>
        <v/>
      </c>
      <c r="J37" s="22" t="str">
        <f t="shared" si="0"/>
        <v/>
      </c>
      <c r="K37" s="16" t="str">
        <f t="shared" si="6"/>
        <v/>
      </c>
      <c r="L37" s="16"/>
    </row>
    <row r="38" spans="1:12" ht="14.5" x14ac:dyDescent="0.35">
      <c r="A38" s="16"/>
      <c r="B38" s="16"/>
      <c r="C38" s="16"/>
      <c r="D38" s="16"/>
      <c r="E38" s="22" t="str">
        <f ca="1">IFERROR(__xludf.dummyfunction("iferror(1000+INT(($N$2-(index(split(D38,"":""),1)*60+index(split(D38,"":""),2 )))/0.2+1)*$N$3,"""")"),"")</f>
        <v/>
      </c>
      <c r="F38" s="16" t="str">
        <f t="shared" ca="1" si="4"/>
        <v/>
      </c>
      <c r="G38" s="16"/>
      <c r="H38" s="22" t="str">
        <f ca="1">IFERROR(__xludf.dummyfunction("iferror(1000+INT(($N$4-(index(split(G38,"":""),1)*60+index(split(G38,"":""),2 )))/0.2+1)*$N$5,"""")"),"")</f>
        <v/>
      </c>
      <c r="I38" s="16" t="str">
        <f t="shared" ca="1" si="5"/>
        <v/>
      </c>
      <c r="J38" s="22" t="str">
        <f t="shared" si="0"/>
        <v/>
      </c>
      <c r="K38" s="16" t="str">
        <f t="shared" si="6"/>
        <v/>
      </c>
      <c r="L38" s="16"/>
    </row>
    <row r="39" spans="1:12" ht="14.5" x14ac:dyDescent="0.35">
      <c r="A39" s="16"/>
      <c r="B39" s="16"/>
      <c r="C39" s="16"/>
      <c r="D39" s="16"/>
      <c r="E39" s="22" t="str">
        <f ca="1">IFERROR(__xludf.dummyfunction("iferror(1000+INT(($N$2-(index(split(D39,"":""),1)*60+index(split(D39,"":""),2 )))/0.2+1)*$N$3,"""")"),"")</f>
        <v/>
      </c>
      <c r="F39" s="16" t="str">
        <f t="shared" ca="1" si="4"/>
        <v/>
      </c>
      <c r="G39" s="16"/>
      <c r="H39" s="22" t="str">
        <f ca="1">IFERROR(__xludf.dummyfunction("iferror(1000+INT(($N$4-(index(split(G39,"":""),1)*60+index(split(G39,"":""),2 )))/0.2+1)*$N$5,"""")"),"")</f>
        <v/>
      </c>
      <c r="I39" s="16" t="str">
        <f t="shared" ca="1" si="5"/>
        <v/>
      </c>
      <c r="J39" s="22" t="str">
        <f t="shared" si="0"/>
        <v/>
      </c>
      <c r="K39" s="16" t="str">
        <f t="shared" si="6"/>
        <v/>
      </c>
      <c r="L39" s="16"/>
    </row>
    <row r="40" spans="1:12" ht="14.5" x14ac:dyDescent="0.35">
      <c r="A40" s="16"/>
      <c r="B40" s="16"/>
      <c r="C40" s="16"/>
      <c r="D40" s="16"/>
      <c r="E40" s="22" t="str">
        <f ca="1">IFERROR(__xludf.dummyfunction("iferror(1000+INT(($N$2-(index(split(D40,"":""),1)*60+index(split(D40,"":""),2 )))/0.2+1)*$N$3,"""")"),"")</f>
        <v/>
      </c>
      <c r="F40" s="16" t="str">
        <f t="shared" ca="1" si="4"/>
        <v/>
      </c>
      <c r="G40" s="16"/>
      <c r="H40" s="22" t="str">
        <f ca="1">IFERROR(__xludf.dummyfunction("iferror(1000+INT(($N$4-(index(split(G40,"":""),1)*60+index(split(G40,"":""),2 )))/0.2+1)*$N$5,"""")"),"")</f>
        <v/>
      </c>
      <c r="I40" s="16" t="str">
        <f t="shared" ca="1" si="5"/>
        <v/>
      </c>
      <c r="J40" s="22" t="str">
        <f t="shared" si="0"/>
        <v/>
      </c>
      <c r="K40" s="16" t="str">
        <f t="shared" si="6"/>
        <v/>
      </c>
      <c r="L40" s="16"/>
    </row>
    <row r="41" spans="1:12" ht="14.5" x14ac:dyDescent="0.35">
      <c r="A41" s="16"/>
      <c r="B41" s="16"/>
      <c r="C41" s="16"/>
      <c r="D41" s="16"/>
      <c r="E41" s="22" t="str">
        <f ca="1">IFERROR(__xludf.dummyfunction("iferror(1000+INT(($N$2-(index(split(D41,"":""),1)*60+index(split(D41,"":""),2 )))/0.2+1)*$N$3,"""")"),"")</f>
        <v/>
      </c>
      <c r="F41" s="16" t="str">
        <f t="shared" ca="1" si="4"/>
        <v/>
      </c>
      <c r="G41" s="16"/>
      <c r="H41" s="22" t="str">
        <f ca="1">IFERROR(__xludf.dummyfunction("iferror(1000+INT(($N$4-(index(split(G41,"":""),1)*60+index(split(G41,"":""),2 )))/0.2+1)*$N$5,"""")"),"")</f>
        <v/>
      </c>
      <c r="I41" s="16" t="str">
        <f t="shared" ca="1" si="5"/>
        <v/>
      </c>
      <c r="J41" s="22" t="str">
        <f t="shared" si="0"/>
        <v/>
      </c>
      <c r="K41" s="16" t="str">
        <f t="shared" si="6"/>
        <v/>
      </c>
      <c r="L41" s="16"/>
    </row>
    <row r="42" spans="1:12" ht="14.5" x14ac:dyDescent="0.35">
      <c r="A42" s="16"/>
      <c r="B42" s="16"/>
      <c r="C42" s="16"/>
      <c r="D42" s="16"/>
      <c r="E42" s="22" t="str">
        <f ca="1">IFERROR(__xludf.dummyfunction("iferror(1000+INT(($N$2-(index(split(D42,"":""),1)*60+index(split(D42,"":""),2 )))/0.2+1)*$N$3,"""")"),"")</f>
        <v/>
      </c>
      <c r="F42" s="16" t="str">
        <f t="shared" ca="1" si="4"/>
        <v/>
      </c>
      <c r="G42" s="16"/>
      <c r="H42" s="22" t="str">
        <f ca="1">IFERROR(__xludf.dummyfunction("iferror(1000+INT(($N$4-(index(split(G42,"":""),1)*60+index(split(G42,"":""),2 )))/0.2+1)*$N$5,"""")"),"")</f>
        <v/>
      </c>
      <c r="I42" s="16" t="str">
        <f t="shared" ca="1" si="5"/>
        <v/>
      </c>
      <c r="J42" s="22" t="str">
        <f t="shared" si="0"/>
        <v/>
      </c>
      <c r="K42" s="16" t="str">
        <f t="shared" si="6"/>
        <v/>
      </c>
      <c r="L42" s="16"/>
    </row>
    <row r="43" spans="1:12" ht="14.5" x14ac:dyDescent="0.35">
      <c r="A43" s="16"/>
      <c r="B43" s="16"/>
      <c r="C43" s="16"/>
      <c r="D43" s="16"/>
      <c r="E43" s="22" t="str">
        <f ca="1">IFERROR(__xludf.dummyfunction("iferror(1000+INT(($N$2-(index(split(D43,"":""),1)*60+index(split(D43,"":""),2 )))/0.2+1)*$N$3,"""")"),"")</f>
        <v/>
      </c>
      <c r="F43" s="16" t="str">
        <f t="shared" ca="1" si="4"/>
        <v/>
      </c>
      <c r="G43" s="16"/>
      <c r="H43" s="22" t="str">
        <f ca="1">IFERROR(__xludf.dummyfunction("iferror(1000+INT(($N$4-(index(split(G43,"":""),1)*60+index(split(G43,"":""),2 )))/0.2+1)*$N$5,"""")"),"")</f>
        <v/>
      </c>
      <c r="I43" s="16" t="str">
        <f t="shared" ca="1" si="5"/>
        <v/>
      </c>
      <c r="J43" s="22" t="str">
        <f t="shared" si="0"/>
        <v/>
      </c>
      <c r="K43" s="16" t="str">
        <f t="shared" si="6"/>
        <v/>
      </c>
      <c r="L43" s="16"/>
    </row>
    <row r="44" spans="1:12" ht="14.5" x14ac:dyDescent="0.35">
      <c r="A44" s="16"/>
      <c r="B44" s="16"/>
      <c r="C44" s="16"/>
      <c r="D44" s="16"/>
      <c r="E44" s="22" t="str">
        <f ca="1">IFERROR(__xludf.dummyfunction("iferror(1000+INT(($N$2-(index(split(D44,"":""),1)*60+index(split(D44,"":""),2 )))/0.2+1)*$N$3,"""")"),"")</f>
        <v/>
      </c>
      <c r="F44" s="16" t="str">
        <f t="shared" ca="1" si="4"/>
        <v/>
      </c>
      <c r="G44" s="16"/>
      <c r="H44" s="22" t="str">
        <f ca="1">IFERROR(__xludf.dummyfunction("iferror(1000+INT(($N$4-(index(split(G44,"":""),1)*60+index(split(G44,"":""),2 )))/0.2+1)*$N$5,"""")"),"")</f>
        <v/>
      </c>
      <c r="I44" s="16" t="str">
        <f t="shared" ca="1" si="5"/>
        <v/>
      </c>
      <c r="J44" s="22" t="str">
        <f t="shared" si="0"/>
        <v/>
      </c>
      <c r="K44" s="16" t="str">
        <f t="shared" si="6"/>
        <v/>
      </c>
      <c r="L44" s="16"/>
    </row>
    <row r="45" spans="1:12" ht="14.5" x14ac:dyDescent="0.35">
      <c r="A45" s="16"/>
      <c r="B45" s="16"/>
      <c r="C45" s="16"/>
      <c r="D45" s="16"/>
      <c r="E45" s="22" t="str">
        <f ca="1">IFERROR(__xludf.dummyfunction("iferror(1000+INT(($N$2-(index(split(D45,"":""),1)*60+index(split(D45,"":""),2 )))/0.2+1)*$N$3,"""")"),"")</f>
        <v/>
      </c>
      <c r="F45" s="16" t="str">
        <f t="shared" ca="1" si="4"/>
        <v/>
      </c>
      <c r="G45" s="16"/>
      <c r="H45" s="22" t="str">
        <f ca="1">IFERROR(__xludf.dummyfunction("iferror(1000+INT(($N$4-(index(split(G45,"":""),1)*60+index(split(G45,"":""),2 )))/0.2+1)*$N$5,"""")"),"")</f>
        <v/>
      </c>
      <c r="I45" s="16" t="str">
        <f t="shared" ca="1" si="5"/>
        <v/>
      </c>
      <c r="J45" s="22" t="str">
        <f t="shared" si="0"/>
        <v/>
      </c>
      <c r="K45" s="16" t="str">
        <f t="shared" si="6"/>
        <v/>
      </c>
      <c r="L45" s="16"/>
    </row>
    <row r="46" spans="1:12" ht="14.5" x14ac:dyDescent="0.35">
      <c r="A46" s="16"/>
      <c r="B46" s="16"/>
      <c r="C46" s="16"/>
      <c r="D46" s="16"/>
      <c r="E46" s="22" t="str">
        <f ca="1">IFERROR(__xludf.dummyfunction("iferror(1000+INT(($N$2-(index(split(D46,"":""),1)*60+index(split(D46,"":""),2 )))/0.2+1)*$N$3,"""")"),"")</f>
        <v/>
      </c>
      <c r="F46" s="16" t="str">
        <f t="shared" ca="1" si="4"/>
        <v/>
      </c>
      <c r="G46" s="16"/>
      <c r="H46" s="22" t="str">
        <f ca="1">IFERROR(__xludf.dummyfunction("iferror(1000+INT(($N$4-(index(split(G46,"":""),1)*60+index(split(G46,"":""),2 )))/0.2+1)*$N$5,"""")"),"")</f>
        <v/>
      </c>
      <c r="I46" s="16" t="str">
        <f t="shared" ca="1" si="5"/>
        <v/>
      </c>
      <c r="J46" s="22" t="str">
        <f t="shared" si="0"/>
        <v/>
      </c>
      <c r="K46" s="16" t="str">
        <f t="shared" si="6"/>
        <v/>
      </c>
      <c r="L46" s="16"/>
    </row>
    <row r="47" spans="1:12" ht="14.5" x14ac:dyDescent="0.35">
      <c r="A47" s="16"/>
      <c r="B47" s="16"/>
      <c r="C47" s="16"/>
      <c r="D47" s="16"/>
      <c r="E47" s="22" t="str">
        <f ca="1">IFERROR(__xludf.dummyfunction("iferror(1000+INT(($N$2-(index(split(D47,"":""),1)*60+index(split(D47,"":""),2 )))/0.2+1)*$N$3,"""")"),"")</f>
        <v/>
      </c>
      <c r="F47" s="16" t="str">
        <f t="shared" ca="1" si="4"/>
        <v/>
      </c>
      <c r="G47" s="16"/>
      <c r="H47" s="22" t="str">
        <f ca="1">IFERROR(__xludf.dummyfunction("iferror(1000+INT(($N$4-(index(split(G47,"":""),1)*60+index(split(G47,"":""),2 )))/0.2+1)*$N$5,"""")"),"")</f>
        <v/>
      </c>
      <c r="I47" s="16" t="str">
        <f t="shared" ca="1" si="5"/>
        <v/>
      </c>
      <c r="J47" s="22" t="str">
        <f t="shared" si="0"/>
        <v/>
      </c>
      <c r="K47" s="16" t="str">
        <f t="shared" si="6"/>
        <v/>
      </c>
      <c r="L47" s="16"/>
    </row>
    <row r="48" spans="1:12" ht="14.5" x14ac:dyDescent="0.35">
      <c r="A48" s="16"/>
      <c r="B48" s="16"/>
      <c r="C48" s="16"/>
      <c r="D48" s="16"/>
      <c r="E48" s="22" t="str">
        <f ca="1">IFERROR(__xludf.dummyfunction("iferror(1000+INT(($N$2-(index(split(D48,"":""),1)*60+index(split(D48,"":""),2 )))/0.2+1)*$N$3,"""")"),"")</f>
        <v/>
      </c>
      <c r="F48" s="16" t="str">
        <f t="shared" ca="1" si="4"/>
        <v/>
      </c>
      <c r="G48" s="16"/>
      <c r="H48" s="22" t="str">
        <f ca="1">IFERROR(__xludf.dummyfunction("iferror(1000+INT(($N$4-(index(split(G48,"":""),1)*60+index(split(G48,"":""),2 )))/0.2+1)*$N$5,"""")"),"")</f>
        <v/>
      </c>
      <c r="I48" s="16" t="str">
        <f t="shared" ca="1" si="5"/>
        <v/>
      </c>
      <c r="J48" s="22" t="str">
        <f t="shared" si="0"/>
        <v/>
      </c>
      <c r="K48" s="16" t="str">
        <f t="shared" si="6"/>
        <v/>
      </c>
      <c r="L48" s="16"/>
    </row>
    <row r="49" spans="1:12" ht="14.5" x14ac:dyDescent="0.35">
      <c r="A49" s="16"/>
      <c r="B49" s="16"/>
      <c r="C49" s="16"/>
      <c r="D49" s="16"/>
      <c r="E49" s="22" t="str">
        <f ca="1">IFERROR(__xludf.dummyfunction("iferror(1000+INT(($N$2-(index(split(D49,"":""),1)*60+index(split(D49,"":""),2 )))/0.2+1)*$N$3,"""")"),"")</f>
        <v/>
      </c>
      <c r="F49" s="16" t="str">
        <f t="shared" ca="1" si="4"/>
        <v/>
      </c>
      <c r="G49" s="16"/>
      <c r="H49" s="22" t="str">
        <f ca="1">IFERROR(__xludf.dummyfunction("iferror(1000+INT(($N$4-(index(split(G49,"":""),1)*60+index(split(G49,"":""),2 )))/0.2+1)*$N$5,"""")"),"")</f>
        <v/>
      </c>
      <c r="I49" s="16" t="str">
        <f t="shared" ca="1" si="5"/>
        <v/>
      </c>
      <c r="J49" s="22" t="str">
        <f t="shared" si="0"/>
        <v/>
      </c>
      <c r="K49" s="16" t="str">
        <f t="shared" si="6"/>
        <v/>
      </c>
      <c r="L49" s="16"/>
    </row>
    <row r="50" spans="1:12" ht="14.5" x14ac:dyDescent="0.35">
      <c r="A50" s="16"/>
      <c r="B50" s="16"/>
      <c r="C50" s="16"/>
      <c r="D50" s="16"/>
      <c r="E50" s="22" t="str">
        <f ca="1">IFERROR(__xludf.dummyfunction("iferror(1000+INT(($N$2-(index(split(D50,"":""),1)*60+index(split(D50,"":""),2 )))/0.2+1)*$N$3,"""")"),"")</f>
        <v/>
      </c>
      <c r="F50" s="16" t="str">
        <f t="shared" ca="1" si="4"/>
        <v/>
      </c>
      <c r="G50" s="16"/>
      <c r="H50" s="22" t="str">
        <f ca="1">IFERROR(__xludf.dummyfunction("iferror(1000+INT(($N$4-(index(split(G50,"":""),1)*60+index(split(G50,"":""),2 )))/0.2+1)*$N$5,"""")"),"")</f>
        <v/>
      </c>
      <c r="I50" s="16" t="str">
        <f t="shared" ca="1" si="5"/>
        <v/>
      </c>
      <c r="J50" s="22" t="str">
        <f t="shared" si="0"/>
        <v/>
      </c>
      <c r="K50" s="16" t="str">
        <f t="shared" si="6"/>
        <v/>
      </c>
      <c r="L50" s="16"/>
    </row>
    <row r="51" spans="1:12" ht="14.5" x14ac:dyDescent="0.35">
      <c r="A51" s="16"/>
      <c r="B51" s="16"/>
      <c r="C51" s="16"/>
      <c r="D51" s="16"/>
      <c r="E51" s="22" t="str">
        <f ca="1">IFERROR(__xludf.dummyfunction("iferror(1000+INT(($N$2-(index(split(D51,"":""),1)*60+index(split(D51,"":""),2 )))/0.2+1)*$N$3,"""")"),"")</f>
        <v/>
      </c>
      <c r="F51" s="16" t="str">
        <f t="shared" ca="1" si="4"/>
        <v/>
      </c>
      <c r="G51" s="16"/>
      <c r="H51" s="22" t="str">
        <f ca="1">IFERROR(__xludf.dummyfunction("iferror(1000+INT(($N$4-(index(split(G51,"":""),1)*60+index(split(G51,"":""),2 )))/0.2+1)*$N$5,"""")"),"")</f>
        <v/>
      </c>
      <c r="I51" s="16" t="str">
        <f t="shared" ca="1" si="5"/>
        <v/>
      </c>
      <c r="J51" s="22" t="str">
        <f t="shared" si="0"/>
        <v/>
      </c>
      <c r="K51" s="16" t="str">
        <f t="shared" si="6"/>
        <v/>
      </c>
      <c r="L51" s="16"/>
    </row>
    <row r="52" spans="1:12" ht="14.5" x14ac:dyDescent="0.35">
      <c r="A52" s="16"/>
      <c r="B52" s="16"/>
      <c r="C52" s="16"/>
      <c r="D52" s="16"/>
      <c r="E52" s="22" t="str">
        <f ca="1">IFERROR(__xludf.dummyfunction("iferror(1000+INT(($N$2-(index(split(D52,"":""),1)*60+index(split(D52,"":""),2 )))/0.2+1)*$N$3,"""")"),"")</f>
        <v/>
      </c>
      <c r="F52" s="16" t="str">
        <f t="shared" ca="1" si="4"/>
        <v/>
      </c>
      <c r="G52" s="16"/>
      <c r="H52" s="22" t="str">
        <f ca="1">IFERROR(__xludf.dummyfunction("iferror(1000+INT(($N$4-(index(split(G52,"":""),1)*60+index(split(G52,"":""),2 )))/0.2+1)*$N$5,"""")"),"")</f>
        <v/>
      </c>
      <c r="I52" s="16" t="str">
        <f t="shared" ca="1" si="5"/>
        <v/>
      </c>
      <c r="J52" s="22" t="str">
        <f t="shared" si="0"/>
        <v/>
      </c>
      <c r="K52" s="16" t="str">
        <f t="shared" si="6"/>
        <v/>
      </c>
      <c r="L52" s="16"/>
    </row>
    <row r="53" spans="1:12" ht="14.5" x14ac:dyDescent="0.35">
      <c r="A53" s="16"/>
      <c r="B53" s="16"/>
      <c r="C53" s="16"/>
      <c r="D53" s="16"/>
      <c r="E53" s="22" t="str">
        <f ca="1">IFERROR(__xludf.dummyfunction("iferror(1000+INT(($N$2-(index(split(D53,"":""),1)*60+index(split(D53,"":""),2 )))/0.2+1)*$N$3,"""")"),"")</f>
        <v/>
      </c>
      <c r="F53" s="16" t="str">
        <f t="shared" ca="1" si="4"/>
        <v/>
      </c>
      <c r="G53" s="16"/>
      <c r="H53" s="22" t="str">
        <f ca="1">IFERROR(__xludf.dummyfunction("iferror(1000+INT(($N$4-(index(split(G53,"":""),1)*60+index(split(G53,"":""),2 )))/0.2+1)*$N$5,"""")"),"")</f>
        <v/>
      </c>
      <c r="I53" s="16" t="str">
        <f t="shared" ca="1" si="5"/>
        <v/>
      </c>
      <c r="J53" s="22" t="str">
        <f t="shared" si="0"/>
        <v/>
      </c>
      <c r="K53" s="16" t="str">
        <f t="shared" si="6"/>
        <v/>
      </c>
      <c r="L53" s="16"/>
    </row>
    <row r="54" spans="1:12" ht="14.5" x14ac:dyDescent="0.35">
      <c r="A54" s="16"/>
      <c r="B54" s="16"/>
      <c r="C54" s="16"/>
      <c r="D54" s="16"/>
      <c r="E54" s="22" t="str">
        <f ca="1">IFERROR(__xludf.dummyfunction("iferror(1000+INT(($N$2-(index(split(D54,"":""),1)*60+index(split(D54,"":""),2 )))/0.2+1)*$N$3,"""")"),"")</f>
        <v/>
      </c>
      <c r="F54" s="16" t="str">
        <f t="shared" ca="1" si="4"/>
        <v/>
      </c>
      <c r="G54" s="16"/>
      <c r="H54" s="22" t="str">
        <f ca="1">IFERROR(__xludf.dummyfunction("iferror(1000+INT(($N$4-(index(split(G54,"":""),1)*60+index(split(G54,"":""),2 )))/0.2+1)*$N$5,"""")"),"")</f>
        <v/>
      </c>
      <c r="I54" s="16" t="str">
        <f t="shared" ca="1" si="5"/>
        <v/>
      </c>
      <c r="J54" s="16" t="str">
        <f t="shared" ref="J34:J65" si="7">IF(AND(D54="", G54=""), "", E54+H54)</f>
        <v/>
      </c>
      <c r="K54" s="16" t="str">
        <f t="shared" si="6"/>
        <v/>
      </c>
      <c r="L54" s="16"/>
    </row>
    <row r="55" spans="1:12" ht="14.5" x14ac:dyDescent="0.35">
      <c r="A55" s="16"/>
      <c r="B55" s="16"/>
      <c r="C55" s="16"/>
      <c r="D55" s="16"/>
      <c r="E55" s="22" t="str">
        <f ca="1">IFERROR(__xludf.dummyfunction("iferror(1000+INT(($N$2-(index(split(D55,"":""),1)*60+index(split(D55,"":""),2 )))/0.2+1)*$N$3,"""")"),"")</f>
        <v/>
      </c>
      <c r="F55" s="16" t="str">
        <f t="shared" ca="1" si="4"/>
        <v/>
      </c>
      <c r="G55" s="16"/>
      <c r="H55" s="22" t="str">
        <f ca="1">IFERROR(__xludf.dummyfunction("iferror(1000+INT(($N$4-(index(split(G55,"":""),1)*60+index(split(G55,"":""),2 )))/0.2+1)*$N$5,"""")"),"")</f>
        <v/>
      </c>
      <c r="I55" s="16" t="str">
        <f t="shared" ca="1" si="5"/>
        <v/>
      </c>
      <c r="J55" s="16" t="str">
        <f t="shared" si="7"/>
        <v/>
      </c>
      <c r="K55" s="16" t="str">
        <f t="shared" si="6"/>
        <v/>
      </c>
      <c r="L55" s="16"/>
    </row>
    <row r="56" spans="1:12" ht="14.5" x14ac:dyDescent="0.35">
      <c r="A56" s="16"/>
      <c r="B56" s="16"/>
      <c r="C56" s="16"/>
      <c r="D56" s="16"/>
      <c r="E56" s="22" t="str">
        <f ca="1">IFERROR(__xludf.dummyfunction("iferror(1000+INT(($N$2-(index(split(D56,"":""),1)*60+index(split(D56,"":""),2 )))/0.2+1)*$N$3,"""")"),"")</f>
        <v/>
      </c>
      <c r="F56" s="16" t="str">
        <f t="shared" ca="1" si="4"/>
        <v/>
      </c>
      <c r="G56" s="16"/>
      <c r="H56" s="22" t="str">
        <f ca="1">IFERROR(__xludf.dummyfunction("iferror(1000+INT(($N$4-(index(split(G56,"":""),1)*60+index(split(G56,"":""),2 )))/0.2+1)*$N$5,"""")"),"")</f>
        <v/>
      </c>
      <c r="I56" s="16" t="str">
        <f t="shared" ca="1" si="5"/>
        <v/>
      </c>
      <c r="J56" s="16" t="str">
        <f t="shared" si="7"/>
        <v/>
      </c>
      <c r="K56" s="16" t="str">
        <f t="shared" si="6"/>
        <v/>
      </c>
      <c r="L56" s="16"/>
    </row>
    <row r="57" spans="1:12" ht="14.5" x14ac:dyDescent="0.35">
      <c r="A57" s="16"/>
      <c r="B57" s="16"/>
      <c r="C57" s="16"/>
      <c r="D57" s="16"/>
      <c r="E57" s="22" t="str">
        <f ca="1">IFERROR(__xludf.dummyfunction("iferror(1000+INT(($N$2-(index(split(D57,"":""),1)*60+index(split(D57,"":""),2 )))/0.2+1)*$N$3,"""")"),"")</f>
        <v/>
      </c>
      <c r="F57" s="16" t="str">
        <f t="shared" ca="1" si="4"/>
        <v/>
      </c>
      <c r="G57" s="16"/>
      <c r="H57" s="22" t="str">
        <f ca="1">IFERROR(__xludf.dummyfunction("iferror(1000+INT(($N$4-(index(split(G57,"":""),1)*60+index(split(G57,"":""),2 )))/0.2+1)*$N$5,"""")"),"")</f>
        <v/>
      </c>
      <c r="I57" s="16" t="str">
        <f t="shared" ca="1" si="5"/>
        <v/>
      </c>
      <c r="J57" s="16" t="str">
        <f t="shared" si="7"/>
        <v/>
      </c>
      <c r="K57" s="16" t="str">
        <f t="shared" si="6"/>
        <v/>
      </c>
      <c r="L57" s="16"/>
    </row>
    <row r="58" spans="1:12" ht="14.5" x14ac:dyDescent="0.35">
      <c r="A58" s="16"/>
      <c r="B58" s="16"/>
      <c r="C58" s="16"/>
      <c r="D58" s="16"/>
      <c r="E58" s="22" t="str">
        <f ca="1">IFERROR(__xludf.dummyfunction("iferror(1000+INT(($N$2-(index(split(D58,"":""),1)*60+index(split(D58,"":""),2 )))/0.2+1)*$N$3,"""")"),"")</f>
        <v/>
      </c>
      <c r="F58" s="16" t="str">
        <f t="shared" ca="1" si="4"/>
        <v/>
      </c>
      <c r="G58" s="16"/>
      <c r="H58" s="22" t="str">
        <f ca="1">IFERROR(__xludf.dummyfunction("iferror(1000+INT(($N$4-(index(split(G58,"":""),1)*60+index(split(G58,"":""),2 )))/0.2+1)*$N$5,"""")"),"")</f>
        <v/>
      </c>
      <c r="I58" s="16" t="str">
        <f t="shared" ca="1" si="5"/>
        <v/>
      </c>
      <c r="J58" s="16" t="str">
        <f t="shared" si="7"/>
        <v/>
      </c>
      <c r="K58" s="16" t="str">
        <f t="shared" si="6"/>
        <v/>
      </c>
      <c r="L58" s="16"/>
    </row>
    <row r="59" spans="1:12" ht="14.5" x14ac:dyDescent="0.35">
      <c r="A59" s="16"/>
      <c r="B59" s="16"/>
      <c r="C59" s="16"/>
      <c r="D59" s="16"/>
      <c r="E59" s="22" t="str">
        <f ca="1">IFERROR(__xludf.dummyfunction("iferror(1000+INT(($N$2-(index(split(D59,"":""),1)*60+index(split(D59,"":""),2 )))/0.2+1)*$N$3,"""")"),"")</f>
        <v/>
      </c>
      <c r="F59" s="16" t="str">
        <f t="shared" ca="1" si="4"/>
        <v/>
      </c>
      <c r="G59" s="16"/>
      <c r="H59" s="22" t="str">
        <f ca="1">IFERROR(__xludf.dummyfunction("iferror(1000+INT(($N$4-(index(split(G59,"":""),1)*60+index(split(G59,"":""),2 )))/0.2+1)*$N$5,"""")"),"")</f>
        <v/>
      </c>
      <c r="I59" s="16" t="str">
        <f t="shared" ca="1" si="5"/>
        <v/>
      </c>
      <c r="J59" s="16" t="str">
        <f t="shared" si="7"/>
        <v/>
      </c>
      <c r="K59" s="16" t="str">
        <f t="shared" si="6"/>
        <v/>
      </c>
      <c r="L59" s="16"/>
    </row>
    <row r="60" spans="1:12" ht="14.5" x14ac:dyDescent="0.35">
      <c r="A60" s="16"/>
      <c r="B60" s="16"/>
      <c r="C60" s="16"/>
      <c r="D60" s="16"/>
      <c r="E60" s="22" t="str">
        <f ca="1">IFERROR(__xludf.dummyfunction("iferror(1000+INT(($N$2-(index(split(D60,"":""),1)*60+index(split(D60,"":""),2 )))/0.2+1)*$N$3,"""")"),"")</f>
        <v/>
      </c>
      <c r="F60" s="16" t="str">
        <f t="shared" ca="1" si="4"/>
        <v/>
      </c>
      <c r="G60" s="16"/>
      <c r="H60" s="22" t="str">
        <f ca="1">IFERROR(__xludf.dummyfunction("iferror(1000+INT(($N$4-(index(split(G60,"":""),1)*60+index(split(G60,"":""),2 )))/0.2+1)*$N$5,"""")"),"")</f>
        <v/>
      </c>
      <c r="I60" s="16" t="str">
        <f t="shared" ca="1" si="5"/>
        <v/>
      </c>
      <c r="J60" s="16" t="str">
        <f t="shared" si="7"/>
        <v/>
      </c>
      <c r="K60" s="16" t="str">
        <f t="shared" si="6"/>
        <v/>
      </c>
      <c r="L60" s="16"/>
    </row>
    <row r="61" spans="1:12" ht="14.5" x14ac:dyDescent="0.35">
      <c r="A61" s="16"/>
      <c r="B61" s="16"/>
      <c r="C61" s="16"/>
      <c r="D61" s="16"/>
      <c r="E61" s="22" t="str">
        <f ca="1">IFERROR(__xludf.dummyfunction("iferror(1000+INT(($N$2-(index(split(D61,"":""),1)*60+index(split(D61,"":""),2 )))/0.2+1)*$N$3,"""")"),"")</f>
        <v/>
      </c>
      <c r="F61" s="16" t="str">
        <f t="shared" ca="1" si="4"/>
        <v/>
      </c>
      <c r="G61" s="16"/>
      <c r="H61" s="22" t="str">
        <f ca="1">IFERROR(__xludf.dummyfunction("iferror(1000+INT(($N$4-(index(split(G61,"":""),1)*60+index(split(G61,"":""),2 )))/0.2+1)*$N$5,"""")"),"")</f>
        <v/>
      </c>
      <c r="I61" s="16" t="str">
        <f t="shared" ca="1" si="5"/>
        <v/>
      </c>
      <c r="J61" s="16" t="str">
        <f t="shared" si="7"/>
        <v/>
      </c>
      <c r="K61" s="16" t="str">
        <f t="shared" si="6"/>
        <v/>
      </c>
      <c r="L61" s="16"/>
    </row>
    <row r="62" spans="1:12" ht="14.5" x14ac:dyDescent="0.35">
      <c r="A62" s="16"/>
      <c r="B62" s="16"/>
      <c r="C62" s="16"/>
      <c r="D62" s="16"/>
      <c r="E62" s="22" t="str">
        <f ca="1">IFERROR(__xludf.dummyfunction("iferror(1000+INT(($N$2-(index(split(D62,"":""),1)*60+index(split(D62,"":""),2 )))/0.2+1)*$N$3,"""")"),"")</f>
        <v/>
      </c>
      <c r="F62" s="16" t="str">
        <f t="shared" ca="1" si="4"/>
        <v/>
      </c>
      <c r="G62" s="16"/>
      <c r="H62" s="22" t="str">
        <f ca="1">IFERROR(__xludf.dummyfunction("iferror(1000+INT(($N$4-(index(split(G62,"":""),1)*60+index(split(G62,"":""),2 )))/0.2+1)*$N$5,"""")"),"")</f>
        <v/>
      </c>
      <c r="I62" s="16" t="str">
        <f t="shared" ca="1" si="5"/>
        <v/>
      </c>
      <c r="J62" s="16" t="str">
        <f t="shared" si="7"/>
        <v/>
      </c>
      <c r="K62" s="16" t="str">
        <f t="shared" si="6"/>
        <v/>
      </c>
      <c r="L62" s="16"/>
    </row>
    <row r="63" spans="1:12" ht="14.5" x14ac:dyDescent="0.35">
      <c r="A63" s="16"/>
      <c r="B63" s="16"/>
      <c r="C63" s="16"/>
      <c r="D63" s="16"/>
      <c r="E63" s="22" t="str">
        <f ca="1">IFERROR(__xludf.dummyfunction("iferror(1000+INT(($N$2-(index(split(D63,"":""),1)*60+index(split(D63,"":""),2 )))/0.2+1)*$N$3,"""")"),"")</f>
        <v/>
      </c>
      <c r="F63" s="16" t="str">
        <f t="shared" ca="1" si="4"/>
        <v/>
      </c>
      <c r="G63" s="16"/>
      <c r="H63" s="22" t="str">
        <f ca="1">IFERROR(__xludf.dummyfunction("iferror(1000+INT(($N$4-(index(split(G63,"":""),1)*60+index(split(G63,"":""),2 )))/0.2+1)*$N$5,"""")"),"")</f>
        <v/>
      </c>
      <c r="I63" s="16" t="str">
        <f t="shared" ca="1" si="5"/>
        <v/>
      </c>
      <c r="J63" s="16" t="str">
        <f t="shared" si="7"/>
        <v/>
      </c>
      <c r="K63" s="16" t="str">
        <f t="shared" si="6"/>
        <v/>
      </c>
      <c r="L63" s="16"/>
    </row>
    <row r="64" spans="1:12" ht="14.5" x14ac:dyDescent="0.35">
      <c r="A64" s="16"/>
      <c r="B64" s="16"/>
      <c r="C64" s="16"/>
      <c r="D64" s="16"/>
      <c r="E64" s="22" t="str">
        <f ca="1">IFERROR(__xludf.dummyfunction("iferror(1000+INT(($N$2-(index(split(D64,"":""),1)*60+index(split(D64,"":""),2 )))/0.2+1)*$N$3,"""")"),"")</f>
        <v/>
      </c>
      <c r="F64" s="16" t="str">
        <f t="shared" ca="1" si="4"/>
        <v/>
      </c>
      <c r="G64" s="16"/>
      <c r="H64" s="22" t="str">
        <f ca="1">IFERROR(__xludf.dummyfunction("iferror(1000+INT(($N$4-(index(split(G64,"":""),1)*60+index(split(G64,"":""),2 )))/0.2+1)*$N$5,"""")"),"")</f>
        <v/>
      </c>
      <c r="I64" s="16" t="str">
        <f t="shared" ca="1" si="5"/>
        <v/>
      </c>
      <c r="J64" s="16" t="str">
        <f t="shared" si="7"/>
        <v/>
      </c>
      <c r="K64" s="16" t="str">
        <f t="shared" si="6"/>
        <v/>
      </c>
      <c r="L64" s="16"/>
    </row>
    <row r="65" spans="1:12" ht="14.5" x14ac:dyDescent="0.35">
      <c r="A65" s="16"/>
      <c r="B65" s="16"/>
      <c r="C65" s="16"/>
      <c r="D65" s="16"/>
      <c r="E65" s="22" t="str">
        <f ca="1">IFERROR(__xludf.dummyfunction("iferror(1000+INT(($N$2-(index(split(D65,"":""),1)*60+index(split(D65,"":""),2 )))/0.2+1)*$N$3,"""")"),"")</f>
        <v/>
      </c>
      <c r="F65" s="16" t="str">
        <f t="shared" ca="1" si="4"/>
        <v/>
      </c>
      <c r="G65" s="16"/>
      <c r="H65" s="22" t="str">
        <f ca="1">IFERROR(__xludf.dummyfunction("iferror(1000+INT(($N$4-(index(split(G65,"":""),1)*60+index(split(G65,"":""),2 )))/0.2+1)*$N$5,"""")"),"")</f>
        <v/>
      </c>
      <c r="I65" s="16" t="str">
        <f t="shared" ca="1" si="5"/>
        <v/>
      </c>
      <c r="J65" s="16" t="str">
        <f t="shared" si="7"/>
        <v/>
      </c>
      <c r="K65" s="16" t="str">
        <f t="shared" si="6"/>
        <v/>
      </c>
      <c r="L65" s="16"/>
    </row>
    <row r="66" spans="1:12" ht="14.5" x14ac:dyDescent="0.35">
      <c r="A66" s="16"/>
      <c r="B66" s="16"/>
      <c r="C66" s="16"/>
      <c r="D66" s="16"/>
      <c r="E66" s="22" t="str">
        <f ca="1">IFERROR(__xludf.dummyfunction("iferror(1000+INT(($N$2-(index(split(D66,"":""),1)*60+index(split(D66,"":""),2 )))/0.2+1)*$N$3,"""")"),"")</f>
        <v/>
      </c>
      <c r="F66" s="16" t="str">
        <f t="shared" ref="F66:F97" ca="1" si="8">IFERROR(_xlfn.RANK.EQ(E66,E:E),"")</f>
        <v/>
      </c>
      <c r="G66" s="16"/>
      <c r="H66" s="22" t="str">
        <f ca="1">IFERROR(__xludf.dummyfunction("iferror(1000+INT(($N$4-(index(split(G66,"":""),1)*60+index(split(G66,"":""),2 )))/0.2+1)*$N$5,"""")"),"")</f>
        <v/>
      </c>
      <c r="I66" s="16" t="str">
        <f t="shared" ref="I66:I97" ca="1" si="9">IFERROR(_xlfn.RANK.EQ(H66,H:H),"")</f>
        <v/>
      </c>
      <c r="J66" s="16" t="str">
        <f t="shared" ref="J66:J100" si="10">IF(AND(D66="", G66=""), "", E66+H66)</f>
        <v/>
      </c>
      <c r="K66" s="16" t="str">
        <f t="shared" ref="K66:K97" si="11">IFERROR(_xlfn.RANK.EQ(J66,J:J),"")</f>
        <v/>
      </c>
      <c r="L66" s="16"/>
    </row>
    <row r="67" spans="1:12" ht="14.5" x14ac:dyDescent="0.35">
      <c r="A67" s="16"/>
      <c r="B67" s="16"/>
      <c r="C67" s="16"/>
      <c r="D67" s="16"/>
      <c r="E67" s="22" t="str">
        <f ca="1">IFERROR(__xludf.dummyfunction("iferror(1000+INT(($N$2-(index(split(D67,"":""),1)*60+index(split(D67,"":""),2 )))/0.2+1)*$N$3,"""")"),"")</f>
        <v/>
      </c>
      <c r="F67" s="16" t="str">
        <f t="shared" ca="1" si="8"/>
        <v/>
      </c>
      <c r="G67" s="16"/>
      <c r="H67" s="22" t="str">
        <f ca="1">IFERROR(__xludf.dummyfunction("iferror(1000+INT(($N$4-(index(split(G67,"":""),1)*60+index(split(G67,"":""),2 )))/0.2+1)*$N$5,"""")"),"")</f>
        <v/>
      </c>
      <c r="I67" s="16" t="str">
        <f t="shared" ca="1" si="9"/>
        <v/>
      </c>
      <c r="J67" s="16" t="str">
        <f t="shared" si="10"/>
        <v/>
      </c>
      <c r="K67" s="16" t="str">
        <f t="shared" si="11"/>
        <v/>
      </c>
      <c r="L67" s="16"/>
    </row>
    <row r="68" spans="1:12" ht="14.5" x14ac:dyDescent="0.35">
      <c r="A68" s="16"/>
      <c r="B68" s="16"/>
      <c r="C68" s="16"/>
      <c r="D68" s="16"/>
      <c r="E68" s="22" t="str">
        <f ca="1">IFERROR(__xludf.dummyfunction("iferror(1000+INT(($N$2-(index(split(D68,"":""),1)*60+index(split(D68,"":""),2 )))/0.2+1)*$N$3,"""")"),"")</f>
        <v/>
      </c>
      <c r="F68" s="16" t="str">
        <f t="shared" ca="1" si="8"/>
        <v/>
      </c>
      <c r="G68" s="16"/>
      <c r="H68" s="22" t="str">
        <f ca="1">IFERROR(__xludf.dummyfunction("iferror(1000+INT(($N$4-(index(split(G68,"":""),1)*60+index(split(G68,"":""),2 )))/0.2+1)*$N$5,"""")"),"")</f>
        <v/>
      </c>
      <c r="I68" s="16" t="str">
        <f t="shared" ca="1" si="9"/>
        <v/>
      </c>
      <c r="J68" s="16" t="str">
        <f t="shared" si="10"/>
        <v/>
      </c>
      <c r="K68" s="16" t="str">
        <f t="shared" si="11"/>
        <v/>
      </c>
      <c r="L68" s="16"/>
    </row>
    <row r="69" spans="1:12" ht="14.5" x14ac:dyDescent="0.35">
      <c r="A69" s="16"/>
      <c r="B69" s="16"/>
      <c r="C69" s="16"/>
      <c r="D69" s="16"/>
      <c r="E69" s="22" t="str">
        <f ca="1">IFERROR(__xludf.dummyfunction("iferror(1000+INT(($N$2-(index(split(D69,"":""),1)*60+index(split(D69,"":""),2 )))/0.2+1)*$N$3,"""")"),"")</f>
        <v/>
      </c>
      <c r="F69" s="16" t="str">
        <f t="shared" ca="1" si="8"/>
        <v/>
      </c>
      <c r="G69" s="16"/>
      <c r="H69" s="22" t="str">
        <f ca="1">IFERROR(__xludf.dummyfunction("iferror(1000+INT(($N$4-(index(split(G69,"":""),1)*60+index(split(G69,"":""),2 )))/0.2+1)*$N$5,"""")"),"")</f>
        <v/>
      </c>
      <c r="I69" s="16" t="str">
        <f t="shared" ca="1" si="9"/>
        <v/>
      </c>
      <c r="J69" s="16" t="str">
        <f t="shared" si="10"/>
        <v/>
      </c>
      <c r="K69" s="16" t="str">
        <f t="shared" si="11"/>
        <v/>
      </c>
      <c r="L69" s="16"/>
    </row>
    <row r="70" spans="1:12" ht="14.5" x14ac:dyDescent="0.35">
      <c r="A70" s="16"/>
      <c r="B70" s="16"/>
      <c r="C70" s="16"/>
      <c r="D70" s="16"/>
      <c r="E70" s="22" t="str">
        <f ca="1">IFERROR(__xludf.dummyfunction("iferror(1000+INT(($N$2-(index(split(D70,"":""),1)*60+index(split(D70,"":""),2 )))/0.2+1)*$N$3,"""")"),"")</f>
        <v/>
      </c>
      <c r="F70" s="16" t="str">
        <f t="shared" ca="1" si="8"/>
        <v/>
      </c>
      <c r="G70" s="16"/>
      <c r="H70" s="22" t="str">
        <f ca="1">IFERROR(__xludf.dummyfunction("iferror(1000+INT(($N$4-(index(split(G70,"":""),1)*60+index(split(G70,"":""),2 )))/0.2+1)*$N$5,"""")"),"")</f>
        <v/>
      </c>
      <c r="I70" s="16" t="str">
        <f t="shared" ca="1" si="9"/>
        <v/>
      </c>
      <c r="J70" s="16" t="str">
        <f t="shared" si="10"/>
        <v/>
      </c>
      <c r="K70" s="16" t="str">
        <f t="shared" si="11"/>
        <v/>
      </c>
      <c r="L70" s="16"/>
    </row>
    <row r="71" spans="1:12" ht="14.5" x14ac:dyDescent="0.35">
      <c r="A71" s="16"/>
      <c r="B71" s="16"/>
      <c r="C71" s="16"/>
      <c r="D71" s="16"/>
      <c r="E71" s="22" t="str">
        <f ca="1">IFERROR(__xludf.dummyfunction("iferror(1000+INT(($N$2-(index(split(D71,"":""),1)*60+index(split(D71,"":""),2 )))/0.2+1)*$N$3,"""")"),"")</f>
        <v/>
      </c>
      <c r="F71" s="16" t="str">
        <f t="shared" ca="1" si="8"/>
        <v/>
      </c>
      <c r="G71" s="16"/>
      <c r="H71" s="22" t="str">
        <f ca="1">IFERROR(__xludf.dummyfunction("iferror(1000+INT(($N$4-(index(split(G71,"":""),1)*60+index(split(G71,"":""),2 )))/0.2+1)*$N$5,"""")"),"")</f>
        <v/>
      </c>
      <c r="I71" s="16" t="str">
        <f t="shared" ca="1" si="9"/>
        <v/>
      </c>
      <c r="J71" s="16" t="str">
        <f t="shared" si="10"/>
        <v/>
      </c>
      <c r="K71" s="16" t="str">
        <f t="shared" si="11"/>
        <v/>
      </c>
      <c r="L71" s="16"/>
    </row>
    <row r="72" spans="1:12" ht="14.5" x14ac:dyDescent="0.35">
      <c r="A72" s="16"/>
      <c r="B72" s="16"/>
      <c r="C72" s="16"/>
      <c r="D72" s="16"/>
      <c r="E72" s="22" t="str">
        <f ca="1">IFERROR(__xludf.dummyfunction("iferror(1000+INT(($N$2-(index(split(D72,"":""),1)*60+index(split(D72,"":""),2 )))/0.2+1)*$N$3,"""")"),"")</f>
        <v/>
      </c>
      <c r="F72" s="16" t="str">
        <f t="shared" ca="1" si="8"/>
        <v/>
      </c>
      <c r="G72" s="16"/>
      <c r="H72" s="22" t="str">
        <f ca="1">IFERROR(__xludf.dummyfunction("iferror(1000+INT(($N$4-(index(split(G72,"":""),1)*60+index(split(G72,"":""),2 )))/0.2+1)*$N$5,"""")"),"")</f>
        <v/>
      </c>
      <c r="I72" s="16" t="str">
        <f t="shared" ca="1" si="9"/>
        <v/>
      </c>
      <c r="J72" s="16" t="str">
        <f t="shared" si="10"/>
        <v/>
      </c>
      <c r="K72" s="16" t="str">
        <f t="shared" si="11"/>
        <v/>
      </c>
      <c r="L72" s="16"/>
    </row>
    <row r="73" spans="1:12" ht="14.5" x14ac:dyDescent="0.35">
      <c r="A73" s="16"/>
      <c r="B73" s="16"/>
      <c r="C73" s="16"/>
      <c r="D73" s="16"/>
      <c r="E73" s="22" t="str">
        <f ca="1">IFERROR(__xludf.dummyfunction("iferror(1000+INT(($N$2-(index(split(D73,"":""),1)*60+index(split(D73,"":""),2 )))/0.2+1)*$N$3,"""")"),"")</f>
        <v/>
      </c>
      <c r="F73" s="16" t="str">
        <f t="shared" ca="1" si="8"/>
        <v/>
      </c>
      <c r="G73" s="16"/>
      <c r="H73" s="22" t="str">
        <f ca="1">IFERROR(__xludf.dummyfunction("iferror(1000+INT(($N$4-(index(split(G73,"":""),1)*60+index(split(G73,"":""),2 )))/0.2+1)*$N$5,"""")"),"")</f>
        <v/>
      </c>
      <c r="I73" s="16" t="str">
        <f t="shared" ca="1" si="9"/>
        <v/>
      </c>
      <c r="J73" s="16" t="str">
        <f t="shared" si="10"/>
        <v/>
      </c>
      <c r="K73" s="16" t="str">
        <f t="shared" si="11"/>
        <v/>
      </c>
      <c r="L73" s="16"/>
    </row>
    <row r="74" spans="1:12" ht="14.5" x14ac:dyDescent="0.35">
      <c r="A74" s="16"/>
      <c r="B74" s="16"/>
      <c r="C74" s="16"/>
      <c r="D74" s="16"/>
      <c r="E74" s="22" t="str">
        <f ca="1">IFERROR(__xludf.dummyfunction("iferror(1000+INT(($N$2-(index(split(D74,"":""),1)*60+index(split(D74,"":""),2 )))/0.2+1)*$N$3,"""")"),"")</f>
        <v/>
      </c>
      <c r="F74" s="16" t="str">
        <f t="shared" ca="1" si="8"/>
        <v/>
      </c>
      <c r="G74" s="16"/>
      <c r="H74" s="22" t="str">
        <f ca="1">IFERROR(__xludf.dummyfunction("iferror(1000+INT(($N$4-(index(split(G74,"":""),1)*60+index(split(G74,"":""),2 )))/0.2+1)*$N$5,"""")"),"")</f>
        <v/>
      </c>
      <c r="I74" s="16" t="str">
        <f t="shared" ca="1" si="9"/>
        <v/>
      </c>
      <c r="J74" s="16" t="str">
        <f t="shared" si="10"/>
        <v/>
      </c>
      <c r="K74" s="16" t="str">
        <f t="shared" si="11"/>
        <v/>
      </c>
      <c r="L74" s="16"/>
    </row>
    <row r="75" spans="1:12" ht="14.5" x14ac:dyDescent="0.35">
      <c r="A75" s="16"/>
      <c r="B75" s="16"/>
      <c r="C75" s="16"/>
      <c r="D75" s="16"/>
      <c r="E75" s="22" t="str">
        <f ca="1">IFERROR(__xludf.dummyfunction("iferror(1000+INT(($N$2-(index(split(D75,"":""),1)*60+index(split(D75,"":""),2 )))/0.2+1)*$N$3,"""")"),"")</f>
        <v/>
      </c>
      <c r="F75" s="16" t="str">
        <f t="shared" ca="1" si="8"/>
        <v/>
      </c>
      <c r="G75" s="16"/>
      <c r="H75" s="22" t="str">
        <f ca="1">IFERROR(__xludf.dummyfunction("iferror(1000+INT(($N$4-(index(split(G75,"":""),1)*60+index(split(G75,"":""),2 )))/0.2+1)*$N$5,"""")"),"")</f>
        <v/>
      </c>
      <c r="I75" s="16" t="str">
        <f t="shared" ca="1" si="9"/>
        <v/>
      </c>
      <c r="J75" s="16" t="str">
        <f t="shared" si="10"/>
        <v/>
      </c>
      <c r="K75" s="16" t="str">
        <f t="shared" si="11"/>
        <v/>
      </c>
      <c r="L75" s="16"/>
    </row>
    <row r="76" spans="1:12" ht="14.5" x14ac:dyDescent="0.35">
      <c r="A76" s="16"/>
      <c r="B76" s="16"/>
      <c r="C76" s="16"/>
      <c r="D76" s="16"/>
      <c r="E76" s="22" t="str">
        <f ca="1">IFERROR(__xludf.dummyfunction("iferror(1000+INT(($N$2-(index(split(D76,"":""),1)*60+index(split(D76,"":""),2 )))/0.2+1)*$N$3,"""")"),"")</f>
        <v/>
      </c>
      <c r="F76" s="16" t="str">
        <f t="shared" ca="1" si="8"/>
        <v/>
      </c>
      <c r="G76" s="16"/>
      <c r="H76" s="22" t="str">
        <f ca="1">IFERROR(__xludf.dummyfunction("iferror(1000+INT(($N$4-(index(split(G76,"":""),1)*60+index(split(G76,"":""),2 )))/0.2+1)*$N$5,"""")"),"")</f>
        <v/>
      </c>
      <c r="I76" s="16" t="str">
        <f t="shared" ca="1" si="9"/>
        <v/>
      </c>
      <c r="J76" s="16" t="str">
        <f t="shared" si="10"/>
        <v/>
      </c>
      <c r="K76" s="16" t="str">
        <f t="shared" si="11"/>
        <v/>
      </c>
      <c r="L76" s="16"/>
    </row>
    <row r="77" spans="1:12" ht="14.5" x14ac:dyDescent="0.35">
      <c r="A77" s="16"/>
      <c r="B77" s="16"/>
      <c r="C77" s="16"/>
      <c r="D77" s="16"/>
      <c r="E77" s="22" t="str">
        <f ca="1">IFERROR(__xludf.dummyfunction("iferror(1000+INT(($N$2-(index(split(D77,"":""),1)*60+index(split(D77,"":""),2 )))/0.2+1)*$N$3,"""")"),"")</f>
        <v/>
      </c>
      <c r="F77" s="16" t="str">
        <f t="shared" ca="1" si="8"/>
        <v/>
      </c>
      <c r="G77" s="16"/>
      <c r="H77" s="22" t="str">
        <f ca="1">IFERROR(__xludf.dummyfunction("iferror(1000+INT(($N$4-(index(split(G77,"":""),1)*60+index(split(G77,"":""),2 )))/0.2+1)*$N$5,"""")"),"")</f>
        <v/>
      </c>
      <c r="I77" s="16" t="str">
        <f t="shared" ca="1" si="9"/>
        <v/>
      </c>
      <c r="J77" s="16" t="str">
        <f t="shared" si="10"/>
        <v/>
      </c>
      <c r="K77" s="16" t="str">
        <f t="shared" si="11"/>
        <v/>
      </c>
      <c r="L77" s="16"/>
    </row>
    <row r="78" spans="1:12" ht="14.5" x14ac:dyDescent="0.35">
      <c r="A78" s="16"/>
      <c r="B78" s="16"/>
      <c r="C78" s="16"/>
      <c r="D78" s="16"/>
      <c r="E78" s="22" t="str">
        <f ca="1">IFERROR(__xludf.dummyfunction("iferror(1000+INT(($N$2-(index(split(D78,"":""),1)*60+index(split(D78,"":""),2 )))/0.2+1)*$N$3,"""")"),"")</f>
        <v/>
      </c>
      <c r="F78" s="16" t="str">
        <f t="shared" ca="1" si="8"/>
        <v/>
      </c>
      <c r="G78" s="16"/>
      <c r="H78" s="22" t="str">
        <f ca="1">IFERROR(__xludf.dummyfunction("iferror(1000+INT(($N$4-(index(split(G78,"":""),1)*60+index(split(G78,"":""),2 )))/0.2+1)*$N$5,"""")"),"")</f>
        <v/>
      </c>
      <c r="I78" s="16" t="str">
        <f t="shared" ca="1" si="9"/>
        <v/>
      </c>
      <c r="J78" s="16" t="str">
        <f t="shared" si="10"/>
        <v/>
      </c>
      <c r="K78" s="16" t="str">
        <f t="shared" si="11"/>
        <v/>
      </c>
      <c r="L78" s="16"/>
    </row>
    <row r="79" spans="1:12" ht="14.5" x14ac:dyDescent="0.35">
      <c r="A79" s="16"/>
      <c r="B79" s="16"/>
      <c r="C79" s="16"/>
      <c r="D79" s="16"/>
      <c r="E79" s="22" t="str">
        <f ca="1">IFERROR(__xludf.dummyfunction("iferror(1000+INT(($N$2-(index(split(D79,"":""),1)*60+index(split(D79,"":""),2 )))/0.2+1)*$N$3,"""")"),"")</f>
        <v/>
      </c>
      <c r="F79" s="16" t="str">
        <f t="shared" ca="1" si="8"/>
        <v/>
      </c>
      <c r="G79" s="16"/>
      <c r="H79" s="22" t="str">
        <f ca="1">IFERROR(__xludf.dummyfunction("iferror(1000+INT(($N$4-(index(split(G79,"":""),1)*60+index(split(G79,"":""),2 )))/0.2+1)*$N$5,"""")"),"")</f>
        <v/>
      </c>
      <c r="I79" s="16" t="str">
        <f t="shared" ca="1" si="9"/>
        <v/>
      </c>
      <c r="J79" s="16" t="str">
        <f t="shared" si="10"/>
        <v/>
      </c>
      <c r="K79" s="16" t="str">
        <f t="shared" si="11"/>
        <v/>
      </c>
      <c r="L79" s="16"/>
    </row>
    <row r="80" spans="1:12" ht="14.5" x14ac:dyDescent="0.35">
      <c r="A80" s="16"/>
      <c r="B80" s="16"/>
      <c r="C80" s="16"/>
      <c r="D80" s="16"/>
      <c r="E80" s="22" t="str">
        <f ca="1">IFERROR(__xludf.dummyfunction("iferror(1000+INT(($N$2-(index(split(D80,"":""),1)*60+index(split(D80,"":""),2 )))/0.2+1)*$N$3,"""")"),"")</f>
        <v/>
      </c>
      <c r="F80" s="16" t="str">
        <f t="shared" ca="1" si="8"/>
        <v/>
      </c>
      <c r="G80" s="16"/>
      <c r="H80" s="22" t="str">
        <f ca="1">IFERROR(__xludf.dummyfunction("iferror(1000+INT(($N$4-(index(split(G80,"":""),1)*60+index(split(G80,"":""),2 )))/0.2+1)*$N$5,"""")"),"")</f>
        <v/>
      </c>
      <c r="I80" s="16" t="str">
        <f t="shared" ca="1" si="9"/>
        <v/>
      </c>
      <c r="J80" s="16" t="str">
        <f t="shared" si="10"/>
        <v/>
      </c>
      <c r="K80" s="16" t="str">
        <f t="shared" si="11"/>
        <v/>
      </c>
      <c r="L80" s="16"/>
    </row>
    <row r="81" spans="1:12" ht="14.5" x14ac:dyDescent="0.35">
      <c r="A81" s="16"/>
      <c r="B81" s="16"/>
      <c r="C81" s="16"/>
      <c r="D81" s="16"/>
      <c r="E81" s="22" t="str">
        <f ca="1">IFERROR(__xludf.dummyfunction("iferror(1000+INT(($N$2-(index(split(D81,"":""),1)*60+index(split(D81,"":""),2 )))/0.2+1)*$N$3,"""")"),"")</f>
        <v/>
      </c>
      <c r="F81" s="16" t="str">
        <f t="shared" ca="1" si="8"/>
        <v/>
      </c>
      <c r="G81" s="16"/>
      <c r="H81" s="22" t="str">
        <f ca="1">IFERROR(__xludf.dummyfunction("iferror(1000+INT(($N$4-(index(split(G81,"":""),1)*60+index(split(G81,"":""),2 )))/0.2+1)*$N$5,"""")"),"")</f>
        <v/>
      </c>
      <c r="I81" s="16" t="str">
        <f t="shared" ca="1" si="9"/>
        <v/>
      </c>
      <c r="J81" s="16" t="str">
        <f t="shared" si="10"/>
        <v/>
      </c>
      <c r="K81" s="16" t="str">
        <f t="shared" si="11"/>
        <v/>
      </c>
      <c r="L81" s="16"/>
    </row>
    <row r="82" spans="1:12" ht="14.5" x14ac:dyDescent="0.35">
      <c r="A82" s="16"/>
      <c r="B82" s="16"/>
      <c r="C82" s="16"/>
      <c r="D82" s="16"/>
      <c r="E82" s="22" t="str">
        <f ca="1">IFERROR(__xludf.dummyfunction("iferror(1000+INT(($N$2-(index(split(D82,"":""),1)*60+index(split(D82,"":""),2 )))/0.2+1)*$N$3,"""")"),"")</f>
        <v/>
      </c>
      <c r="F82" s="16" t="str">
        <f t="shared" ca="1" si="8"/>
        <v/>
      </c>
      <c r="G82" s="16"/>
      <c r="H82" s="22" t="str">
        <f ca="1">IFERROR(__xludf.dummyfunction("iferror(1000+INT(($N$4-(index(split(G82,"":""),1)*60+index(split(G82,"":""),2 )))/0.2+1)*$N$5,"""")"),"")</f>
        <v/>
      </c>
      <c r="I82" s="16" t="str">
        <f t="shared" ca="1" si="9"/>
        <v/>
      </c>
      <c r="J82" s="16" t="str">
        <f t="shared" si="10"/>
        <v/>
      </c>
      <c r="K82" s="16" t="str">
        <f t="shared" si="11"/>
        <v/>
      </c>
      <c r="L82" s="16"/>
    </row>
    <row r="83" spans="1:12" ht="14.5" x14ac:dyDescent="0.35">
      <c r="A83" s="16"/>
      <c r="B83" s="16"/>
      <c r="C83" s="16"/>
      <c r="D83" s="16"/>
      <c r="E83" s="22" t="str">
        <f ca="1">IFERROR(__xludf.dummyfunction("iferror(1000+INT(($N$2-(index(split(D83,"":""),1)*60+index(split(D83,"":""),2 )))/0.2+1)*$N$3,"""")"),"")</f>
        <v/>
      </c>
      <c r="F83" s="16" t="str">
        <f t="shared" ca="1" si="8"/>
        <v/>
      </c>
      <c r="G83" s="16"/>
      <c r="H83" s="22" t="str">
        <f ca="1">IFERROR(__xludf.dummyfunction("iferror(1000+INT(($N$4-(index(split(G83,"":""),1)*60+index(split(G83,"":""),2 )))/0.2+1)*$N$5,"""")"),"")</f>
        <v/>
      </c>
      <c r="I83" s="16" t="str">
        <f t="shared" ca="1" si="9"/>
        <v/>
      </c>
      <c r="J83" s="16" t="str">
        <f t="shared" si="10"/>
        <v/>
      </c>
      <c r="K83" s="16" t="str">
        <f t="shared" si="11"/>
        <v/>
      </c>
      <c r="L83" s="16"/>
    </row>
    <row r="84" spans="1:12" ht="14.5" x14ac:dyDescent="0.35">
      <c r="A84" s="16"/>
      <c r="B84" s="16"/>
      <c r="C84" s="16"/>
      <c r="D84" s="16"/>
      <c r="E84" s="22" t="str">
        <f ca="1">IFERROR(__xludf.dummyfunction("iferror(1000+INT(($N$2-(index(split(D84,"":""),1)*60+index(split(D84,"":""),2 )))/0.2+1)*$N$3,"""")"),"")</f>
        <v/>
      </c>
      <c r="F84" s="16" t="str">
        <f t="shared" ca="1" si="8"/>
        <v/>
      </c>
      <c r="G84" s="16"/>
      <c r="H84" s="22" t="str">
        <f ca="1">IFERROR(__xludf.dummyfunction("iferror(1000+INT(($N$4-(index(split(G84,"":""),1)*60+index(split(G84,"":""),2 )))/0.2+1)*$N$5,"""")"),"")</f>
        <v/>
      </c>
      <c r="I84" s="16" t="str">
        <f t="shared" ca="1" si="9"/>
        <v/>
      </c>
      <c r="J84" s="16" t="str">
        <f t="shared" si="10"/>
        <v/>
      </c>
      <c r="K84" s="16" t="str">
        <f t="shared" si="11"/>
        <v/>
      </c>
      <c r="L84" s="16"/>
    </row>
    <row r="85" spans="1:12" ht="14.5" x14ac:dyDescent="0.35">
      <c r="A85" s="16"/>
      <c r="B85" s="16"/>
      <c r="C85" s="16"/>
      <c r="D85" s="16"/>
      <c r="E85" s="22" t="str">
        <f ca="1">IFERROR(__xludf.dummyfunction("iferror(1000+INT(($N$2-(index(split(D85,"":""),1)*60+index(split(D85,"":""),2 )))/0.2+1)*$N$3,"""")"),"")</f>
        <v/>
      </c>
      <c r="F85" s="16" t="str">
        <f t="shared" ca="1" si="8"/>
        <v/>
      </c>
      <c r="G85" s="16"/>
      <c r="H85" s="22" t="str">
        <f ca="1">IFERROR(__xludf.dummyfunction("iferror(1000+INT(($N$4-(index(split(G85,"":""),1)*60+index(split(G85,"":""),2 )))/0.2+1)*$N$5,"""")"),"")</f>
        <v/>
      </c>
      <c r="I85" s="16" t="str">
        <f t="shared" ca="1" si="9"/>
        <v/>
      </c>
      <c r="J85" s="16" t="str">
        <f t="shared" si="10"/>
        <v/>
      </c>
      <c r="K85" s="16" t="str">
        <f t="shared" si="11"/>
        <v/>
      </c>
      <c r="L85" s="16"/>
    </row>
    <row r="86" spans="1:12" ht="14.5" x14ac:dyDescent="0.35">
      <c r="A86" s="16"/>
      <c r="B86" s="16"/>
      <c r="C86" s="16"/>
      <c r="D86" s="16"/>
      <c r="E86" s="22" t="str">
        <f ca="1">IFERROR(__xludf.dummyfunction("iferror(1000+INT(($N$2-(index(split(D86,"":""),1)*60+index(split(D86,"":""),2 )))/0.2+1)*$N$3,"""")"),"")</f>
        <v/>
      </c>
      <c r="F86" s="16" t="str">
        <f t="shared" ca="1" si="8"/>
        <v/>
      </c>
      <c r="G86" s="16"/>
      <c r="H86" s="22" t="str">
        <f ca="1">IFERROR(__xludf.dummyfunction("iferror(1000+INT(($N$4-(index(split(G86,"":""),1)*60+index(split(G86,"":""),2 )))/0.2+1)*$N$5,"""")"),"")</f>
        <v/>
      </c>
      <c r="I86" s="16" t="str">
        <f t="shared" ca="1" si="9"/>
        <v/>
      </c>
      <c r="J86" s="16" t="str">
        <f t="shared" si="10"/>
        <v/>
      </c>
      <c r="K86" s="16" t="str">
        <f t="shared" si="11"/>
        <v/>
      </c>
      <c r="L86" s="16"/>
    </row>
    <row r="87" spans="1:12" ht="14.5" x14ac:dyDescent="0.35">
      <c r="A87" s="16"/>
      <c r="B87" s="16"/>
      <c r="C87" s="16"/>
      <c r="D87" s="16"/>
      <c r="E87" s="22" t="str">
        <f ca="1">IFERROR(__xludf.dummyfunction("iferror(1000+INT(($N$2-(index(split(D87,"":""),1)*60+index(split(D87,"":""),2 )))/0.2+1)*$N$3,"""")"),"")</f>
        <v/>
      </c>
      <c r="F87" s="16" t="str">
        <f t="shared" ca="1" si="8"/>
        <v/>
      </c>
      <c r="G87" s="16"/>
      <c r="H87" s="22" t="str">
        <f ca="1">IFERROR(__xludf.dummyfunction("iferror(1000+INT(($N$4-(index(split(G87,"":""),1)*60+index(split(G87,"":""),2 )))/0.2+1)*$N$5,"""")"),"")</f>
        <v/>
      </c>
      <c r="I87" s="16" t="str">
        <f t="shared" ca="1" si="9"/>
        <v/>
      </c>
      <c r="J87" s="16" t="str">
        <f t="shared" si="10"/>
        <v/>
      </c>
      <c r="K87" s="16" t="str">
        <f t="shared" si="11"/>
        <v/>
      </c>
      <c r="L87" s="16"/>
    </row>
    <row r="88" spans="1:12" ht="14.5" x14ac:dyDescent="0.35">
      <c r="A88" s="16"/>
      <c r="B88" s="16"/>
      <c r="C88" s="16"/>
      <c r="D88" s="16"/>
      <c r="E88" s="22" t="str">
        <f ca="1">IFERROR(__xludf.dummyfunction("iferror(1000+INT(($N$2-(index(split(D88,"":""),1)*60+index(split(D88,"":""),2 )))/0.2+1)*$N$3,"""")"),"")</f>
        <v/>
      </c>
      <c r="F88" s="16" t="str">
        <f t="shared" ca="1" si="8"/>
        <v/>
      </c>
      <c r="G88" s="16"/>
      <c r="H88" s="22" t="str">
        <f ca="1">IFERROR(__xludf.dummyfunction("iferror(1000+INT(($N$4-(index(split(G88,"":""),1)*60+index(split(G88,"":""),2 )))/0.2+1)*$N$5,"""")"),"")</f>
        <v/>
      </c>
      <c r="I88" s="16" t="str">
        <f t="shared" ca="1" si="9"/>
        <v/>
      </c>
      <c r="J88" s="16" t="str">
        <f t="shared" si="10"/>
        <v/>
      </c>
      <c r="K88" s="16" t="str">
        <f t="shared" si="11"/>
        <v/>
      </c>
      <c r="L88" s="16"/>
    </row>
    <row r="89" spans="1:12" ht="14.5" x14ac:dyDescent="0.35">
      <c r="A89" s="16"/>
      <c r="B89" s="16"/>
      <c r="C89" s="16"/>
      <c r="D89" s="16"/>
      <c r="E89" s="22" t="str">
        <f ca="1">IFERROR(__xludf.dummyfunction("iferror(1000+INT(($N$2-(index(split(D89,"":""),1)*60+index(split(D89,"":""),2 )))/0.2+1)*$N$3,"""")"),"")</f>
        <v/>
      </c>
      <c r="F89" s="16" t="str">
        <f t="shared" ca="1" si="8"/>
        <v/>
      </c>
      <c r="G89" s="16"/>
      <c r="H89" s="22" t="str">
        <f ca="1">IFERROR(__xludf.dummyfunction("iferror(1000+INT(($N$4-(index(split(G89,"":""),1)*60+index(split(G89,"":""),2 )))/0.2+1)*$N$5,"""")"),"")</f>
        <v/>
      </c>
      <c r="I89" s="16" t="str">
        <f t="shared" ca="1" si="9"/>
        <v/>
      </c>
      <c r="J89" s="16" t="str">
        <f t="shared" si="10"/>
        <v/>
      </c>
      <c r="K89" s="16" t="str">
        <f t="shared" si="11"/>
        <v/>
      </c>
      <c r="L89" s="16"/>
    </row>
    <row r="90" spans="1:12" ht="14.5" x14ac:dyDescent="0.35">
      <c r="A90" s="16"/>
      <c r="B90" s="16"/>
      <c r="C90" s="16"/>
      <c r="D90" s="16"/>
      <c r="E90" s="22" t="str">
        <f ca="1">IFERROR(__xludf.dummyfunction("iferror(1000+INT(($N$2-(index(split(D90,"":""),1)*60+index(split(D90,"":""),2 )))/0.2+1)*$N$3,"""")"),"")</f>
        <v/>
      </c>
      <c r="F90" s="16" t="str">
        <f t="shared" ca="1" si="8"/>
        <v/>
      </c>
      <c r="G90" s="16"/>
      <c r="H90" s="22" t="str">
        <f ca="1">IFERROR(__xludf.dummyfunction("iferror(1000+INT(($N$4-(index(split(G90,"":""),1)*60+index(split(G90,"":""),2 )))/0.2+1)*$N$5,"""")"),"")</f>
        <v/>
      </c>
      <c r="I90" s="16" t="str">
        <f t="shared" ca="1" si="9"/>
        <v/>
      </c>
      <c r="J90" s="16" t="str">
        <f t="shared" si="10"/>
        <v/>
      </c>
      <c r="K90" s="16" t="str">
        <f t="shared" si="11"/>
        <v/>
      </c>
      <c r="L90" s="16"/>
    </row>
    <row r="91" spans="1:12" ht="14.5" x14ac:dyDescent="0.35">
      <c r="A91" s="16"/>
      <c r="B91" s="16"/>
      <c r="C91" s="16"/>
      <c r="D91" s="16"/>
      <c r="E91" s="22" t="str">
        <f ca="1">IFERROR(__xludf.dummyfunction("iferror(1000+INT(($N$2-(index(split(D91,"":""),1)*60+index(split(D91,"":""),2 )))/0.2+1)*$N$3,"""")"),"")</f>
        <v/>
      </c>
      <c r="F91" s="16" t="str">
        <f t="shared" ca="1" si="8"/>
        <v/>
      </c>
      <c r="G91" s="16"/>
      <c r="H91" s="22" t="str">
        <f ca="1">IFERROR(__xludf.dummyfunction("iferror(1000+INT(($N$4-(index(split(G91,"":""),1)*60+index(split(G91,"":""),2 )))/0.2+1)*$N$5,"""")"),"")</f>
        <v/>
      </c>
      <c r="I91" s="16" t="str">
        <f t="shared" ca="1" si="9"/>
        <v/>
      </c>
      <c r="J91" s="16" t="str">
        <f t="shared" si="10"/>
        <v/>
      </c>
      <c r="K91" s="16" t="str">
        <f t="shared" si="11"/>
        <v/>
      </c>
      <c r="L91" s="16"/>
    </row>
    <row r="92" spans="1:12" ht="14.5" x14ac:dyDescent="0.35">
      <c r="A92" s="16"/>
      <c r="B92" s="16"/>
      <c r="C92" s="16"/>
      <c r="D92" s="16"/>
      <c r="E92" s="22" t="str">
        <f ca="1">IFERROR(__xludf.dummyfunction("iferror(1000+INT(($N$2-(index(split(D92,"":""),1)*60+index(split(D92,"":""),2 )))/0.2+1)*$N$3,"""")"),"")</f>
        <v/>
      </c>
      <c r="F92" s="16" t="str">
        <f t="shared" ca="1" si="8"/>
        <v/>
      </c>
      <c r="G92" s="16"/>
      <c r="H92" s="22" t="str">
        <f ca="1">IFERROR(__xludf.dummyfunction("iferror(1000+INT(($N$4-(index(split(G92,"":""),1)*60+index(split(G92,"":""),2 )))/0.2+1)*$N$5,"""")"),"")</f>
        <v/>
      </c>
      <c r="I92" s="16" t="str">
        <f t="shared" ca="1" si="9"/>
        <v/>
      </c>
      <c r="J92" s="16" t="str">
        <f t="shared" si="10"/>
        <v/>
      </c>
      <c r="K92" s="16" t="str">
        <f t="shared" si="11"/>
        <v/>
      </c>
      <c r="L92" s="16"/>
    </row>
    <row r="93" spans="1:12" ht="14.5" x14ac:dyDescent="0.35">
      <c r="A93" s="16"/>
      <c r="B93" s="16"/>
      <c r="C93" s="16"/>
      <c r="D93" s="16"/>
      <c r="E93" s="22" t="str">
        <f ca="1">IFERROR(__xludf.dummyfunction("iferror(1000+INT(($N$2-(index(split(D93,"":""),1)*60+index(split(D93,"":""),2 )))/0.2+1)*$N$3,"""")"),"")</f>
        <v/>
      </c>
      <c r="F93" s="16" t="str">
        <f t="shared" ca="1" si="8"/>
        <v/>
      </c>
      <c r="G93" s="16"/>
      <c r="H93" s="22" t="str">
        <f ca="1">IFERROR(__xludf.dummyfunction("iferror(1000+INT(($N$4-(index(split(G93,"":""),1)*60+index(split(G93,"":""),2 )))/0.2+1)*$N$5,"""")"),"")</f>
        <v/>
      </c>
      <c r="I93" s="16" t="str">
        <f t="shared" ca="1" si="9"/>
        <v/>
      </c>
      <c r="J93" s="16" t="str">
        <f t="shared" si="10"/>
        <v/>
      </c>
      <c r="K93" s="16" t="str">
        <f t="shared" si="11"/>
        <v/>
      </c>
      <c r="L93" s="16"/>
    </row>
    <row r="94" spans="1:12" ht="14.5" x14ac:dyDescent="0.35">
      <c r="A94" s="16"/>
      <c r="B94" s="16"/>
      <c r="C94" s="16"/>
      <c r="D94" s="16"/>
      <c r="E94" s="22" t="str">
        <f ca="1">IFERROR(__xludf.dummyfunction("iferror(1000+INT(($N$2-(index(split(D94,"":""),1)*60+index(split(D94,"":""),2 )))/0.2+1)*$N$3,"""")"),"")</f>
        <v/>
      </c>
      <c r="F94" s="16" t="str">
        <f t="shared" ca="1" si="8"/>
        <v/>
      </c>
      <c r="G94" s="16"/>
      <c r="H94" s="22" t="str">
        <f ca="1">IFERROR(__xludf.dummyfunction("iferror(1000+INT(($N$4-(index(split(G94,"":""),1)*60+index(split(G94,"":""),2 )))/0.2+1)*$N$5,"""")"),"")</f>
        <v/>
      </c>
      <c r="I94" s="16" t="str">
        <f t="shared" ca="1" si="9"/>
        <v/>
      </c>
      <c r="J94" s="16" t="str">
        <f t="shared" si="10"/>
        <v/>
      </c>
      <c r="K94" s="16" t="str">
        <f t="shared" si="11"/>
        <v/>
      </c>
      <c r="L94" s="16"/>
    </row>
    <row r="95" spans="1:12" ht="14.5" x14ac:dyDescent="0.35">
      <c r="A95" s="16"/>
      <c r="B95" s="16"/>
      <c r="C95" s="16"/>
      <c r="D95" s="16"/>
      <c r="E95" s="22" t="str">
        <f ca="1">IFERROR(__xludf.dummyfunction("iferror(1000+INT(($N$2-(index(split(D95,"":""),1)*60+index(split(D95,"":""),2 )))/0.2+1)*$N$3,"""")"),"")</f>
        <v/>
      </c>
      <c r="F95" s="16" t="str">
        <f t="shared" ca="1" si="8"/>
        <v/>
      </c>
      <c r="G95" s="16"/>
      <c r="H95" s="22" t="str">
        <f ca="1">IFERROR(__xludf.dummyfunction("iferror(1000+INT(($N$4-(index(split(G95,"":""),1)*60+index(split(G95,"":""),2 )))/0.2+1)*$N$5,"""")"),"")</f>
        <v/>
      </c>
      <c r="I95" s="16" t="str">
        <f t="shared" ca="1" si="9"/>
        <v/>
      </c>
      <c r="J95" s="16" t="str">
        <f t="shared" si="10"/>
        <v/>
      </c>
      <c r="K95" s="16" t="str">
        <f t="shared" si="11"/>
        <v/>
      </c>
      <c r="L95" s="16"/>
    </row>
    <row r="96" spans="1:12" ht="14.5" x14ac:dyDescent="0.35">
      <c r="A96" s="16"/>
      <c r="B96" s="16"/>
      <c r="C96" s="16"/>
      <c r="D96" s="16"/>
      <c r="E96" s="22" t="str">
        <f ca="1">IFERROR(__xludf.dummyfunction("iferror(1000+INT(($N$2-(index(split(D96,"":""),1)*60+index(split(D96,"":""),2 )))/0.2+1)*$N$3,"""")"),"")</f>
        <v/>
      </c>
      <c r="F96" s="16" t="str">
        <f t="shared" ca="1" si="8"/>
        <v/>
      </c>
      <c r="G96" s="16"/>
      <c r="H96" s="22" t="str">
        <f ca="1">IFERROR(__xludf.dummyfunction("iferror(1000+INT(($N$4-(index(split(G96,"":""),1)*60+index(split(G96,"":""),2 )))/0.2+1)*$N$5,"""")"),"")</f>
        <v/>
      </c>
      <c r="I96" s="16" t="str">
        <f t="shared" ca="1" si="9"/>
        <v/>
      </c>
      <c r="J96" s="16" t="str">
        <f t="shared" si="10"/>
        <v/>
      </c>
      <c r="K96" s="16" t="str">
        <f t="shared" si="11"/>
        <v/>
      </c>
      <c r="L96" s="16"/>
    </row>
    <row r="97" spans="1:12" ht="14.5" x14ac:dyDescent="0.35">
      <c r="A97" s="16"/>
      <c r="B97" s="16"/>
      <c r="C97" s="16"/>
      <c r="D97" s="16"/>
      <c r="E97" s="22" t="str">
        <f ca="1">IFERROR(__xludf.dummyfunction("iferror(1000+INT(($N$2-(index(split(D97,"":""),1)*60+index(split(D97,"":""),2 )))/0.2+1)*$N$3,"""")"),"")</f>
        <v/>
      </c>
      <c r="F97" s="16" t="str">
        <f t="shared" ca="1" si="8"/>
        <v/>
      </c>
      <c r="G97" s="16"/>
      <c r="H97" s="22" t="str">
        <f ca="1">IFERROR(__xludf.dummyfunction("iferror(1000+INT(($N$4-(index(split(G97,"":""),1)*60+index(split(G97,"":""),2 )))/0.2+1)*$N$5,"""")"),"")</f>
        <v/>
      </c>
      <c r="I97" s="16" t="str">
        <f t="shared" ca="1" si="9"/>
        <v/>
      </c>
      <c r="J97" s="16" t="str">
        <f t="shared" si="10"/>
        <v/>
      </c>
      <c r="K97" s="16" t="str">
        <f t="shared" si="11"/>
        <v/>
      </c>
      <c r="L97" s="16"/>
    </row>
    <row r="98" spans="1:12" ht="14.5" x14ac:dyDescent="0.35">
      <c r="A98" s="16"/>
      <c r="B98" s="16"/>
      <c r="C98" s="16"/>
      <c r="D98" s="16"/>
      <c r="E98" s="22" t="str">
        <f ca="1">IFERROR(__xludf.dummyfunction("iferror(1000+INT(($N$2-(index(split(D98,"":""),1)*60+index(split(D98,"":""),2 )))/0.2+1)*$N$3,"""")"),"")</f>
        <v/>
      </c>
      <c r="F98" s="16" t="str">
        <f t="shared" ref="F98:F129" ca="1" si="12">IFERROR(_xlfn.RANK.EQ(E98,E:E),"")</f>
        <v/>
      </c>
      <c r="G98" s="16"/>
      <c r="H98" s="22" t="str">
        <f ca="1">IFERROR(__xludf.dummyfunction("iferror(1000+INT(($N$4-(index(split(G98,"":""),1)*60+index(split(G98,"":""),2 )))/0.2+1)*$N$5,"""")"),"")</f>
        <v/>
      </c>
      <c r="I98" s="16" t="str">
        <f t="shared" ref="I98:I129" ca="1" si="13">IFERROR(_xlfn.RANK.EQ(H98,H:H),"")</f>
        <v/>
      </c>
      <c r="J98" s="16" t="str">
        <f t="shared" si="10"/>
        <v/>
      </c>
      <c r="K98" s="16" t="str">
        <f t="shared" ref="K98:K129" si="14">IFERROR(_xlfn.RANK.EQ(J98,J:J),"")</f>
        <v/>
      </c>
      <c r="L98" s="16"/>
    </row>
    <row r="99" spans="1:12" ht="14.5" x14ac:dyDescent="0.35">
      <c r="A99" s="16"/>
      <c r="B99" s="16"/>
      <c r="C99" s="16"/>
      <c r="D99" s="16"/>
      <c r="E99" s="22" t="str">
        <f ca="1">IFERROR(__xludf.dummyfunction("iferror(1000+INT(($N$2-(index(split(D99,"":""),1)*60+index(split(D99,"":""),2 )))/0.2+1)*$N$3,"""")"),"")</f>
        <v/>
      </c>
      <c r="F99" s="16" t="str">
        <f t="shared" ca="1" si="12"/>
        <v/>
      </c>
      <c r="G99" s="16"/>
      <c r="H99" s="22" t="str">
        <f ca="1">IFERROR(__xludf.dummyfunction("iferror(1000+INT(($N$4-(index(split(G99,"":""),1)*60+index(split(G99,"":""),2 )))/0.2+1)*$N$5,"""")"),"")</f>
        <v/>
      </c>
      <c r="I99" s="16" t="str">
        <f t="shared" ca="1" si="13"/>
        <v/>
      </c>
      <c r="J99" s="16" t="str">
        <f t="shared" si="10"/>
        <v/>
      </c>
      <c r="K99" s="16" t="str">
        <f t="shared" si="14"/>
        <v/>
      </c>
      <c r="L99" s="16"/>
    </row>
    <row r="100" spans="1:12" ht="14.5" x14ac:dyDescent="0.35">
      <c r="A100" s="16"/>
      <c r="B100" s="16"/>
      <c r="C100" s="16"/>
      <c r="D100" s="16"/>
      <c r="E100" s="22" t="str">
        <f ca="1">IFERROR(__xludf.dummyfunction("iferror(1000+INT(($N$2-(index(split(D100,"":""),1)*60+index(split(D100,"":""),2 )))/0.2+1)*$N$3,"""")"),"")</f>
        <v/>
      </c>
      <c r="F100" s="16" t="str">
        <f t="shared" ca="1" si="12"/>
        <v/>
      </c>
      <c r="G100" s="16"/>
      <c r="H100" s="22" t="str">
        <f ca="1">IFERROR(__xludf.dummyfunction("iferror(1000+INT(($N$4-(index(split(G100,"":""),1)*60+index(split(G100,"":""),2 )))/0.2+1)*$N$5,"""")"),"")</f>
        <v/>
      </c>
      <c r="I100" s="16" t="str">
        <f t="shared" ca="1" si="13"/>
        <v/>
      </c>
      <c r="J100" s="16" t="str">
        <f t="shared" si="10"/>
        <v/>
      </c>
      <c r="K100" s="16" t="str">
        <f t="shared" si="14"/>
        <v/>
      </c>
      <c r="L100" s="16"/>
    </row>
    <row r="101" spans="1:12" ht="14.5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4.5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4.5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4.5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4.5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4.5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4.5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4.5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4.5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4.5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4.5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4.5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4.5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4.5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4.5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4.5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4.5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4.5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4.5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4.5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4.5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4.5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4.5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4.5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4.5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4.5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4.5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4.5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4.5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4.5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4.5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4.5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4.5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4.5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4.5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4.5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4.5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4.5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4.5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4.5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4.5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4.5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4.5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4.5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4.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4.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4.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4.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4.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4.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4.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4.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4.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4.5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4.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4.5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4.5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4.5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4.5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4.5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4.5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4.5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ht="14.5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4.5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ht="14.5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ht="14.5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4.5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4.5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5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4.5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4.5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4.5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4.5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4.5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4.5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4.5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4.5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4.5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4.5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4.5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4.5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4.5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4.5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4.5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4.5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4.5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4.5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4.5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4.5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4.5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4.5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4.5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4.5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4.5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4.5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4.5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4.5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4.5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4.5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4.5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4.5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4.5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4.5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4.5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4.5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4.5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4.5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4.5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4.5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4.5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4.5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4.5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4.5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4.5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4.5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4.5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4.5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4.5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4.5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4.5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4.5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4.5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4.5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4.5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4.5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4.5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4.5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4.5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4.5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4.5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4.5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4.5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4.5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5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4.5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4.5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4.5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4.5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4.5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4.5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4.5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4.5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4.5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4.5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4.5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4.5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4.5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4.5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4.5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4.5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4.5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4.5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4.5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4.5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4.5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4.5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4.5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4.5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4.5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4.5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4.5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4.5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4.5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4.5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4.5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4.5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4.5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4.5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4.5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4.5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4.5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4.5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4.5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4.5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4.5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4.5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4.5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4.5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4.5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4.5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4.5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4.5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4.5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4.5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4.5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4.5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4.5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4.5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4.5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4.5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4.5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4.5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4.5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4.5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4.5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4.5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4.5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4.5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4.5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4.5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4.5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4.5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4.5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4.5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4.5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4.5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4.5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4.5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4.5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4.5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4.5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4.5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4.5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4.5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4.5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4.5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4.5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4.5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4.5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4.5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4.5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4.5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4.5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4.5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4.5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4.5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4.5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4.5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4.5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4.5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4.5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4.5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4.5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4.5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4.5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4.5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4.5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4.5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4.5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4.5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4.5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4.5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4.5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4.5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4.5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4.5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4.5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4.5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4.5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4.5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4.5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4.5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4.5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4.5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4.5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4.5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4.5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4.5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4.5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4.5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4.5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4.5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4.5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4.5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4.5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4.5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4.5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4.5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4.5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4.5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4.5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4.5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4.5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4.5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4.5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4.5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4.5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4.5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4.5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ht="14.5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ht="14.5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ht="14.5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ht="14.5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ht="14.5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ht="14.5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ht="14.5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ht="14.5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ht="14.5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ht="14.5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ht="14.5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ht="14.5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ht="14.5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ht="14.5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ht="14.5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ht="14.5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ht="14.5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ht="14.5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ht="14.5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ht="14.5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ht="14.5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ht="14.5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ht="14.5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ht="14.5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ht="14.5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ht="14.5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ht="14.5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ht="14.5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ht="14.5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ht="14.5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ht="14.5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ht="14.5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ht="14.5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ht="14.5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ht="14.5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ht="14.5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ht="14.5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ht="14.5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ht="14.5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ht="14.5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ht="14.5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ht="14.5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ht="14.5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ht="14.5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ht="14.5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ht="14.5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ht="14.5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ht="14.5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ht="14.5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ht="14.5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ht="14.5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ht="14.5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ht="14.5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ht="14.5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ht="14.5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ht="14.5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ht="14.5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ht="14.5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 ht="14.5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 ht="14.5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 ht="14.5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 ht="14.5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 ht="14.5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 ht="14.5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 ht="14.5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 ht="14.5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 ht="14.5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 ht="14.5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 ht="14.5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 ht="14.5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 ht="14.5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 ht="14.5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 ht="14.5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 ht="14.5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 ht="14.5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 ht="14.5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 ht="14.5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 ht="14.5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 ht="14.5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 ht="14.5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 ht="14.5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 ht="14.5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 ht="14.5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 ht="14.5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 ht="14.5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 ht="14.5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 ht="14.5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 ht="14.5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 ht="14.5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 ht="14.5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 ht="14.5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 ht="14.5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 ht="14.5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 ht="14.5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 ht="14.5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 ht="14.5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 ht="14.5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 ht="14.5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 ht="14.5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 ht="14.5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 ht="14.5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 ht="14.5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 ht="14.5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 ht="14.5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 ht="14.5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 ht="14.5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 ht="14.5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 ht="14.5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 ht="14.5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 ht="14.5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 ht="14.5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 ht="14.5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 ht="14.5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 ht="14.5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 ht="14.5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 ht="14.5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 ht="14.5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 ht="14.5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 ht="14.5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 ht="14.5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 ht="14.5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 ht="14.5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 ht="14.5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 ht="14.5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 ht="14.5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 ht="14.5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 ht="14.5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 ht="14.5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 ht="14.5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 ht="14.5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 ht="14.5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 ht="14.5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 ht="14.5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 ht="14.5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 ht="14.5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 ht="14.5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 ht="14.5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 ht="14.5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 ht="14.5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 ht="14.5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 ht="14.5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ht="14.5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ht="14.5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ht="14.5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ht="14.5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ht="14.5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ht="14.5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ht="14.5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ht="14.5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 ht="14.5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 ht="14.5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 ht="14.5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 ht="14.5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 ht="14.5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 ht="14.5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 ht="14.5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 ht="14.5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 ht="14.5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 ht="14.5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 ht="14.5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 ht="14.5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 ht="14.5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 ht="14.5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 ht="14.5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 ht="14.5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 ht="14.5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 ht="14.5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 ht="14.5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 ht="14.5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 ht="14.5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 ht="14.5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 ht="14.5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 ht="14.5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 ht="14.5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 ht="14.5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 ht="14.5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 ht="14.5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 ht="14.5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 ht="14.5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 ht="14.5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 ht="14.5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 ht="14.5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 ht="14.5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 ht="14.5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 ht="14.5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 ht="14.5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 ht="14.5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 ht="14.5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 ht="14.5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 ht="14.5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 ht="14.5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 ht="14.5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 ht="14.5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 ht="14.5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 ht="14.5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 ht="14.5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 ht="14.5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 ht="14.5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 ht="14.5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 ht="14.5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 ht="14.5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 ht="14.5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 ht="14.5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 ht="14.5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 ht="14.5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 ht="14.5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 ht="14.5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 ht="14.5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 ht="14.5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 ht="14.5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 ht="14.5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 ht="14.5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 ht="14.5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 ht="14.5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 ht="14.5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 ht="14.5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 ht="14.5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 ht="14.5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 ht="14.5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 ht="14.5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 ht="14.5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 ht="14.5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 ht="14.5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 ht="14.5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 ht="14.5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 ht="14.5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 ht="14.5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 ht="14.5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 ht="14.5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 ht="14.5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 ht="14.5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 ht="14.5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 ht="14.5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 ht="14.5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 ht="14.5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 ht="14.5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 ht="14.5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 ht="14.5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 ht="14.5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 ht="14.5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 ht="14.5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 ht="14.5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 ht="14.5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 ht="14.5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 ht="14.5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 ht="14.5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 ht="14.5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 ht="14.5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 ht="14.5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 ht="14.5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 ht="14.5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 ht="14.5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 ht="14.5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 ht="14.5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 ht="14.5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 ht="14.5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 ht="14.5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 ht="14.5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 ht="14.5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 ht="14.5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 ht="14.5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 ht="14.5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 ht="14.5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 ht="14.5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 ht="14.5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 ht="14.5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 ht="14.5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 ht="14.5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 ht="14.5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 ht="14.5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 ht="14.5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 ht="14.5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 ht="14.5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 ht="14.5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 ht="14.5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 ht="14.5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 ht="14.5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 ht="14.5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 ht="14.5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 ht="14.5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 ht="14.5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 ht="14.5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 ht="14.5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 ht="14.5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 ht="14.5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 ht="14.5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 ht="14.5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 ht="14.5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 ht="14.5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 ht="14.5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 ht="14.5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 ht="14.5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 ht="14.5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 ht="14.5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 ht="14.5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 ht="14.5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 ht="14.5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 ht="14.5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 ht="14.5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 ht="14.5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 ht="14.5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 ht="14.5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 ht="14.5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 ht="14.5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 ht="14.5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 ht="14.5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 ht="14.5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 ht="14.5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 ht="14.5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 ht="14.5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 ht="14.5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 ht="14.5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 ht="14.5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 ht="14.5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 ht="14.5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 ht="14.5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 ht="14.5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 ht="14.5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 ht="14.5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 ht="14.5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 ht="14.5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 ht="14.5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 ht="14.5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 ht="14.5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 ht="14.5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 ht="14.5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 ht="14.5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 ht="14.5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 ht="14.5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 ht="14.5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 ht="14.5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 ht="14.5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 ht="14.5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 ht="14.5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 ht="14.5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 ht="14.5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 ht="14.5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 ht="14.5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 ht="14.5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 ht="14.5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 ht="14.5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 ht="14.5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 ht="14.5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 ht="14.5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 ht="14.5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 ht="14.5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 ht="14.5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 ht="14.5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 ht="14.5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 ht="14.5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 ht="14.5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 ht="14.5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 ht="14.5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 ht="14.5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 ht="14.5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 ht="14.5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 ht="14.5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 ht="14.5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 ht="14.5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 ht="14.5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 ht="14.5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 ht="14.5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 ht="14.5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 ht="14.5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 ht="14.5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 ht="14.5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 ht="14.5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 ht="14.5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 ht="14.5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 ht="14.5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 ht="14.5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 ht="14.5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 ht="14.5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 ht="14.5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 ht="14.5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 ht="14.5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 ht="14.5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 ht="14.5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 ht="14.5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 ht="14.5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 ht="14.5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 ht="14.5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 ht="14.5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 ht="14.5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 ht="14.5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 ht="14.5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 ht="14.5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 ht="14.5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 ht="14.5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 ht="14.5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 ht="14.5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 ht="14.5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 ht="14.5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 ht="14.5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 ht="14.5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 ht="14.5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 ht="14.5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 ht="14.5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 ht="14.5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 ht="14.5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 ht="14.5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 ht="14.5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 ht="14.5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 ht="14.5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 ht="14.5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 ht="14.5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 ht="14.5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 ht="14.5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 ht="14.5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 ht="14.5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 ht="14.5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 ht="14.5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 ht="14.5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 ht="14.5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 ht="14.5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 ht="14.5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 ht="14.5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 ht="14.5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 ht="14.5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 ht="14.5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 ht="14.5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 ht="14.5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 ht="14.5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 ht="14.5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 ht="14.5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 ht="14.5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 ht="14.5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 ht="14.5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 ht="14.5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 ht="14.5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 ht="14.5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 ht="14.5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 ht="14.5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 ht="14.5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 ht="14.5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 ht="14.5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 ht="14.5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 ht="14.5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 ht="14.5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 ht="14.5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 ht="14.5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 ht="14.5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 ht="14.5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 ht="14.5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 ht="14.5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 ht="14.5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 ht="14.5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 ht="14.5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 ht="14.5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 ht="14.5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 ht="14.5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 ht="14.5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 ht="14.5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 ht="14.5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 ht="14.5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 ht="14.5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 ht="14.5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 ht="14.5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 ht="14.5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 ht="14.5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 ht="14.5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 ht="14.5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 ht="14.5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 ht="14.5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 ht="14.5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 ht="14.5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 ht="14.5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 ht="14.5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 ht="14.5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 ht="14.5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 ht="14.5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 ht="14.5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 ht="14.5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 ht="14.5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 ht="14.5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 ht="14.5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 ht="14.5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 ht="14.5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 ht="14.5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 ht="14.5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 ht="14.5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 ht="14.5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 ht="14.5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 ht="14.5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 ht="14.5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 ht="14.5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 ht="14.5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 ht="14.5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 ht="14.5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 ht="14.5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 ht="14.5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 ht="14.5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 ht="14.5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 ht="14.5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 ht="14.5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 ht="14.5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 ht="14.5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 ht="14.5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 ht="14.5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 ht="14.5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 ht="14.5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 ht="14.5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 ht="14.5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 ht="14.5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 ht="14.5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 ht="14.5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 ht="14.5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 ht="14.5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 ht="14.5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 ht="14.5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 ht="14.5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 ht="14.5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 ht="14.5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 ht="14.5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 ht="14.5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 ht="14.5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 ht="14.5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 ht="14.5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 ht="14.5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 ht="14.5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 ht="14.5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 ht="14.5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 ht="14.5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 ht="14.5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 ht="14.5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 ht="14.5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 ht="14.5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 ht="14.5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 ht="14.5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 ht="14.5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 ht="14.5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 ht="14.5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 ht="14.5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 ht="14.5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 ht="14.5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 ht="14.5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 ht="14.5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 ht="14.5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 ht="14.5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 ht="14.5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 ht="14.5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 ht="14.5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 ht="14.5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 ht="14.5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 ht="14.5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 ht="14.5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</sheetData>
  <sortState xmlns:xlrd2="http://schemas.microsoft.com/office/spreadsheetml/2017/richdata2" ref="A2:K15">
    <sortCondition ref="K2:K15"/>
  </sortState>
  <printOptions horizontalCentered="1" gridLines="1"/>
  <pageMargins left="0.7" right="0.7" top="1.1437499999999998" bottom="1.1437499999999998" header="0.75" footer="0.75"/>
  <pageSetup paperSize="0" fitToWidth="0" fitToHeight="0" pageOrder="overThenDown" orientation="landscape" horizontalDpi="0" verticalDpi="0" copies="0"/>
  <headerFooter alignWithMargins="0"/>
  <ignoredErrors>
    <ignoredError sqref="J2:J53 C14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'Scoring tables'!$A$2:$A$57</xm:f>
          </x14:formula1>
          <xm:sqref>L1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workbookViewId="0">
      <selection activeCell="L15" sqref="L15"/>
    </sheetView>
  </sheetViews>
  <sheetFormatPr defaultRowHeight="15.75" customHeight="1" x14ac:dyDescent="0.35"/>
  <cols>
    <col min="1" max="1" width="10.4140625" style="25" customWidth="1"/>
    <col min="2" max="2" width="23.58203125" style="25" customWidth="1"/>
    <col min="3" max="3" width="22.4140625" style="25" customWidth="1"/>
    <col min="4" max="11" width="8.4140625" style="25" customWidth="1"/>
    <col min="12" max="1024" width="11.6640625" style="25" customWidth="1"/>
    <col min="1025" max="16384" width="8.6640625" style="25"/>
  </cols>
  <sheetData>
    <row r="1" spans="1:14" ht="30.75" customHeight="1" x14ac:dyDescent="0.35">
      <c r="A1" s="20" t="s">
        <v>0</v>
      </c>
      <c r="B1" s="20" t="s">
        <v>26</v>
      </c>
      <c r="C1" s="20" t="s">
        <v>27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12</v>
      </c>
    </row>
    <row r="2" spans="1:14" ht="14.5" x14ac:dyDescent="0.35">
      <c r="A2" s="16">
        <f ca="1">IFERROR(__xludf.dummyfunction("""COMPUTED_VALUE"""),96)</f>
        <v>96</v>
      </c>
      <c r="B2" s="5" t="str">
        <f ca="1">IFERROR(__xludf.dummyfunction("""COMPUTED_VALUE"""),"Ida Augustine")</f>
        <v>Ida Augustine</v>
      </c>
      <c r="C2" s="5" t="str">
        <f ca="1">IFERROR(__xludf.dummyfunction("""COMPUTED_VALUE"""),"Corpus Christi RC High School")</f>
        <v>Corpus Christi RC High School</v>
      </c>
      <c r="D2" s="16" t="s">
        <v>241</v>
      </c>
      <c r="E2" s="22">
        <f ca="1">IFERROR(__xludf.dummyfunction("iferror(1000+INT(($N$2-(index(split(D18,"":""),1)*60+index(split(D18,"":""),2 )))/0.2+1)*$N$3,"""")"),1240)</f>
        <v>1240</v>
      </c>
      <c r="F2" s="16">
        <f ca="1">IFERROR(_xlfn.RANK.EQ(E2,E:E),"")</f>
        <v>1</v>
      </c>
      <c r="G2" s="16" t="s">
        <v>242</v>
      </c>
      <c r="H2" s="22">
        <f ca="1">IFERROR(__xludf.dummyfunction("iferror(1000+INT(($N$4-(index(split(G18,"":""),1)*60+index(split(G18,"":""),2 )))/0.2+1)*$N$5,"""")"),967)</f>
        <v>967</v>
      </c>
      <c r="I2" s="16">
        <f ca="1">IFERROR(_xlfn.RANK.EQ(H2,H:H),"")</f>
        <v>1</v>
      </c>
      <c r="J2" s="22">
        <f ca="1">IF(AND(D2="", G2=""), "", E2+H2)</f>
        <v>2207</v>
      </c>
      <c r="K2" s="16">
        <f ca="1">IFERROR(_xlfn.RANK.EQ(J2,J:J),"")</f>
        <v>1</v>
      </c>
      <c r="L2" s="16"/>
      <c r="M2" s="21" t="s">
        <v>38</v>
      </c>
      <c r="N2" s="26">
        <f>VLOOKUP($L$1,'Scoring tables'!$A$2:$K$57,10,0)</f>
        <v>38</v>
      </c>
    </row>
    <row r="3" spans="1:14" ht="14.5" x14ac:dyDescent="0.35">
      <c r="A3" s="16">
        <f ca="1">IFERROR(__xludf.dummyfunction("""COMPUTED_VALUE"""),91)</f>
        <v>91</v>
      </c>
      <c r="B3" s="5" t="str">
        <f ca="1">IFERROR(__xludf.dummyfunction("""COMPUTED_VALUE"""),"Emily Gomes Canelhas")</f>
        <v>Emily Gomes Canelhas</v>
      </c>
      <c r="C3" s="5" t="str">
        <f ca="1">IFERROR(__xludf.dummyfunction("""COMPUTED_VALUE"""),"Newcastle Under Lyme School")</f>
        <v>Newcastle Under Lyme School</v>
      </c>
      <c r="D3" s="16" t="s">
        <v>233</v>
      </c>
      <c r="E3" s="22">
        <f ca="1">IFERROR(__xludf.dummyfunction("iferror(1000+INT(($N$2-(index(split(D13,"":""),1)*60+index(split(D13,"":""),2 )))/0.2+1)*$N$3,"""")"),1126)</f>
        <v>1126</v>
      </c>
      <c r="F3" s="16">
        <f ca="1">IFERROR(_xlfn.RANK.EQ(E3,E:E),"")</f>
        <v>5</v>
      </c>
      <c r="G3" s="16" t="s">
        <v>234</v>
      </c>
      <c r="H3" s="22">
        <f ca="1">IFERROR(__xludf.dummyfunction("iferror(1000+INT(($N$4-(index(split(G13,"":""),1)*60+index(split(G13,"":""),2 )))/0.2+1)*$N$5,"""")"),934)</f>
        <v>934</v>
      </c>
      <c r="I3" s="16">
        <f ca="1">IFERROR(_xlfn.RANK.EQ(H3,H:H),"")</f>
        <v>2</v>
      </c>
      <c r="J3" s="22">
        <f t="shared" ref="J3:J45" ca="1" si="0">IF(AND(D3="", G3=""), "", E3+H3)</f>
        <v>2060</v>
      </c>
      <c r="K3" s="16">
        <f ca="1">IFERROR(_xlfn.RANK.EQ(J3,J:J),"")</f>
        <v>2</v>
      </c>
      <c r="L3" s="16"/>
      <c r="M3" s="21" t="s">
        <v>39</v>
      </c>
      <c r="N3" s="26">
        <f>VLOOKUP($L$1,'Scoring tables'!$A$2:$K$57,11,0)</f>
        <v>6</v>
      </c>
    </row>
    <row r="4" spans="1:14" ht="14.5" x14ac:dyDescent="0.35">
      <c r="A4" s="16">
        <f ca="1">IFERROR(__xludf.dummyfunction("""COMPUTED_VALUE"""),88)</f>
        <v>88</v>
      </c>
      <c r="B4" s="5" t="str">
        <f ca="1">IFERROR(__xludf.dummyfunction("""COMPUTED_VALUE"""),"Katriona Royle")</f>
        <v>Katriona Royle</v>
      </c>
      <c r="C4" s="5" t="str">
        <f ca="1">IFERROR(__xludf.dummyfunction("""COMPUTED_VALUE"""),"Durham Johnston Comprehensive")</f>
        <v>Durham Johnston Comprehensive</v>
      </c>
      <c r="D4" s="16" t="s">
        <v>227</v>
      </c>
      <c r="E4" s="22">
        <f ca="1">IFERROR(__xludf.dummyfunction("iferror(1000+INT(($N$2-(index(split(D10,"":""),1)*60+index(split(D10,"":""),2 )))/0.2+1)*$N$3,"""")"),1150)</f>
        <v>1150</v>
      </c>
      <c r="F4" s="16">
        <f ca="1">IFERROR(_xlfn.RANK.EQ(E4,E:E),"")</f>
        <v>3</v>
      </c>
      <c r="G4" s="16" t="s">
        <v>228</v>
      </c>
      <c r="H4" s="22">
        <f ca="1">IFERROR(__xludf.dummyfunction("iferror(1000+INT(($N$4-(index(split(G10,"":""),1)*60+index(split(G10,"":""),2 )))/0.2+1)*$N$5,"""")"),742)</f>
        <v>742</v>
      </c>
      <c r="I4" s="16">
        <f ca="1">IFERROR(_xlfn.RANK.EQ(H4,H:H),"")</f>
        <v>6</v>
      </c>
      <c r="J4" s="22">
        <f t="shared" ca="1" si="0"/>
        <v>1892</v>
      </c>
      <c r="K4" s="16">
        <f ca="1">IFERROR(_xlfn.RANK.EQ(J4,J:J),"")</f>
        <v>3</v>
      </c>
      <c r="L4" s="16"/>
      <c r="M4" s="21" t="s">
        <v>31</v>
      </c>
      <c r="N4" s="26">
        <f>VLOOKUP($L$1,'Scoring tables'!$A$2:$K$57,5,0)</f>
        <v>170</v>
      </c>
    </row>
    <row r="5" spans="1:14" ht="14.5" x14ac:dyDescent="0.35">
      <c r="A5" s="16">
        <f ca="1">IFERROR(__xludf.dummyfunction("""COMPUTED_VALUE"""),93)</f>
        <v>93</v>
      </c>
      <c r="B5" s="5" t="str">
        <f ca="1">IFERROR(__xludf.dummyfunction("""COMPUTED_VALUE"""),"Jana Tisdall")</f>
        <v>Jana Tisdall</v>
      </c>
      <c r="C5" s="5" t="str">
        <f ca="1">IFERROR(__xludf.dummyfunction("""COMPUTED_VALUE"""),"Hodgson Academy College")</f>
        <v>Hodgson Academy College</v>
      </c>
      <c r="D5" s="16" t="s">
        <v>237</v>
      </c>
      <c r="E5" s="22">
        <f ca="1">IFERROR(__xludf.dummyfunction("iferror(1000+INT(($N$2-(index(split(D15,"":""),1)*60+index(split(D15,"":""),2 )))/0.2+1)*$N$3,"""")"),1144)</f>
        <v>1144</v>
      </c>
      <c r="F5" s="16">
        <f ca="1">IFERROR(_xlfn.RANK.EQ(E5,E:E),"")</f>
        <v>4</v>
      </c>
      <c r="G5" s="16" t="s">
        <v>65</v>
      </c>
      <c r="H5" s="22">
        <f ca="1">IFERROR(__xludf.dummyfunction("iferror(1000+INT(($N$4-(index(split(G15,"":""),1)*60+index(split(G15,"":""),2 )))/0.2+1)*$N$5,"""")"),706)</f>
        <v>706</v>
      </c>
      <c r="I5" s="16">
        <f ca="1">IFERROR(_xlfn.RANK.EQ(H5,H:H),"")</f>
        <v>7</v>
      </c>
      <c r="J5" s="22">
        <f t="shared" ca="1" si="0"/>
        <v>1850</v>
      </c>
      <c r="K5" s="16">
        <f ca="1">IFERROR(_xlfn.RANK.EQ(J5,J:J),"")</f>
        <v>4</v>
      </c>
      <c r="L5" s="16"/>
      <c r="M5" s="21" t="s">
        <v>32</v>
      </c>
      <c r="N5" s="26">
        <f>VLOOKUP($L$1,'Scoring tables'!$A$2:$K$57,6,0)</f>
        <v>3</v>
      </c>
    </row>
    <row r="6" spans="1:14" ht="14.5" x14ac:dyDescent="0.35">
      <c r="A6" s="16">
        <f ca="1">IFERROR(__xludf.dummyfunction("""COMPUTED_VALUE"""),89)</f>
        <v>89</v>
      </c>
      <c r="B6" s="5" t="str">
        <f ca="1">IFERROR(__xludf.dummyfunction("""COMPUTED_VALUE"""),"Freyja Rickelton")</f>
        <v>Freyja Rickelton</v>
      </c>
      <c r="C6" s="5" t="str">
        <f ca="1">IFERROR(__xludf.dummyfunction("""COMPUTED_VALUE"""),"Durham Johnston Comprehensive")</f>
        <v>Durham Johnston Comprehensive</v>
      </c>
      <c r="D6" s="16" t="s">
        <v>229</v>
      </c>
      <c r="E6" s="22">
        <f ca="1">IFERROR(__xludf.dummyfunction("iferror(1000+INT(($N$2-(index(split(D11,"":""),1)*60+index(split(D11,"":""),2 )))/0.2+1)*$N$3,"""")"),898)</f>
        <v>898</v>
      </c>
      <c r="F6" s="16">
        <f ca="1">IFERROR(_xlfn.RANK.EQ(E6,E:E),"")</f>
        <v>9</v>
      </c>
      <c r="G6" s="16" t="s">
        <v>230</v>
      </c>
      <c r="H6" s="22">
        <f ca="1">IFERROR(__xludf.dummyfunction("iferror(1000+INT(($N$4-(index(split(G11,"":""),1)*60+index(split(G11,"":""),2 )))/0.2+1)*$N$5,"""")"),841)</f>
        <v>841</v>
      </c>
      <c r="I6" s="16">
        <f ca="1">IFERROR(_xlfn.RANK.EQ(H6,H:H),"")</f>
        <v>4</v>
      </c>
      <c r="J6" s="22">
        <f t="shared" ca="1" si="0"/>
        <v>1739</v>
      </c>
      <c r="K6" s="16">
        <f ca="1">IFERROR(_xlfn.RANK.EQ(J6,J:J),"")</f>
        <v>5</v>
      </c>
      <c r="L6" s="16"/>
    </row>
    <row r="7" spans="1:14" ht="14.5" x14ac:dyDescent="0.35">
      <c r="A7" s="16">
        <f ca="1">IFERROR(__xludf.dummyfunction("""COMPUTED_VALUE"""),90)</f>
        <v>90</v>
      </c>
      <c r="B7" s="5" t="str">
        <f ca="1">IFERROR(__xludf.dummyfunction("""COMPUTED_VALUE"""),"Megan Turner")</f>
        <v>Megan Turner</v>
      </c>
      <c r="C7" s="5" t="str">
        <f ca="1">IFERROR(__xludf.dummyfunction("""COMPUTED_VALUE"""),"Settlebeck School")</f>
        <v>Settlebeck School</v>
      </c>
      <c r="D7" s="16" t="s">
        <v>231</v>
      </c>
      <c r="E7" s="22">
        <f ca="1">IFERROR(__xludf.dummyfunction("iferror(1000+INT(($N$2-(index(split(D12,"":""),1)*60+index(split(D12,"":""),2 )))/0.2+1)*$N$3,"""")"),1108)</f>
        <v>1108</v>
      </c>
      <c r="F7" s="16">
        <f ca="1">IFERROR(_xlfn.RANK.EQ(E7,E:E),"")</f>
        <v>6</v>
      </c>
      <c r="G7" s="16" t="s">
        <v>232</v>
      </c>
      <c r="H7" s="22">
        <f ca="1">IFERROR(__xludf.dummyfunction("iferror(1000+INT(($N$4-(index(split(G12,"":""),1)*60+index(split(G12,"":""),2 )))/0.2+1)*$N$5,"""")"),601)</f>
        <v>601</v>
      </c>
      <c r="I7" s="16">
        <f ca="1">IFERROR(_xlfn.RANK.EQ(H7,H:H),"")</f>
        <v>8</v>
      </c>
      <c r="J7" s="22">
        <f t="shared" ca="1" si="0"/>
        <v>1709</v>
      </c>
      <c r="K7" s="16">
        <f ca="1">IFERROR(_xlfn.RANK.EQ(J7,J:J),"")</f>
        <v>6</v>
      </c>
      <c r="L7" s="16"/>
    </row>
    <row r="8" spans="1:14" ht="14.5" x14ac:dyDescent="0.35">
      <c r="A8" s="16">
        <f ca="1">IFERROR(__xludf.dummyfunction("Query(Entries!$A$2:$U$1205,""select A,C,D where B = '""&amp;L1&amp;""'"")"),80)</f>
        <v>80</v>
      </c>
      <c r="B8" s="5" t="str">
        <f ca="1">IFERROR(__xludf.dummyfunction("""COMPUTED_VALUE"""),"Henrietta Paul")</f>
        <v>Henrietta Paul</v>
      </c>
      <c r="C8" s="5" t="str">
        <f ca="1">IFERROR(__xludf.dummyfunction("""COMPUTED_VALUE"""),"Kirkby Stephen Grammar School Sports College")</f>
        <v>Kirkby Stephen Grammar School Sports College</v>
      </c>
      <c r="D8" s="16" t="s">
        <v>215</v>
      </c>
      <c r="E8" s="22">
        <f ca="1">IFERROR(__xludf.dummyfunction("iferror(1000+INT(($N$2-(index(split(D2,"":""),1)*60+index(split(D2,"":""),2 )))/0.2+1)*$N$3,"""")"),808)</f>
        <v>808</v>
      </c>
      <c r="F8" s="16"/>
      <c r="G8" s="22" t="s">
        <v>216</v>
      </c>
      <c r="H8" s="22">
        <f ca="1">IFERROR(__xludf.dummyfunction("iferror(1000+INT(($N$4-(index(split(G2,"":""),1)*60+index(split(G2,"":""),2 )))/0.2+1)*$N$5,"""")"),868)</f>
        <v>868</v>
      </c>
      <c r="I8" s="16">
        <f ca="1">IFERROR(_xlfn.RANK.EQ(H8,H:H),"")</f>
        <v>3</v>
      </c>
      <c r="J8" s="22">
        <f t="shared" ca="1" si="0"/>
        <v>1676</v>
      </c>
      <c r="K8" s="16">
        <f ca="1">IFERROR(_xlfn.RANK.EQ(J8,J:J),"")</f>
        <v>7</v>
      </c>
      <c r="L8" s="16"/>
    </row>
    <row r="9" spans="1:14" ht="14.5" x14ac:dyDescent="0.35">
      <c r="A9" s="16">
        <f ca="1">IFERROR(__xludf.dummyfunction("""COMPUTED_VALUE"""),85)</f>
        <v>85</v>
      </c>
      <c r="B9" s="5" t="str">
        <f ca="1">IFERROR(__xludf.dummyfunction("""COMPUTED_VALUE"""),"Edie Sass")</f>
        <v>Edie Sass</v>
      </c>
      <c r="C9" s="5"/>
      <c r="D9" s="16" t="s">
        <v>221</v>
      </c>
      <c r="E9" s="22">
        <f ca="1">IFERROR(__xludf.dummyfunction("iferror(1000+INT(($N$2-(index(split(D7,"":""),1)*60+index(split(D7,"":""),2 )))/0.2+1)*$N$3,"""")"),1156)</f>
        <v>1156</v>
      </c>
      <c r="F9" s="16">
        <f ca="1">IFERROR(_xlfn.RANK.EQ(E9,E:E),"")</f>
        <v>2</v>
      </c>
      <c r="G9" s="16" t="s">
        <v>222</v>
      </c>
      <c r="H9" s="22">
        <f ca="1">IFERROR(__xludf.dummyfunction("iferror(1000+INT(($N$4-(index(split(G7,"":""),1)*60+index(split(G7,"":""),2 )))/0.2+1)*$N$5,"""")"),493)</f>
        <v>493</v>
      </c>
      <c r="I9" s="16">
        <f ca="1">IFERROR(_xlfn.RANK.EQ(H9,H:H),"")</f>
        <v>11</v>
      </c>
      <c r="J9" s="22">
        <f t="shared" ca="1" si="0"/>
        <v>1649</v>
      </c>
      <c r="K9" s="16">
        <f ca="1">IFERROR(_xlfn.RANK.EQ(J9,J:J),"")</f>
        <v>8</v>
      </c>
      <c r="L9" s="16"/>
    </row>
    <row r="10" spans="1:14" ht="14.5" x14ac:dyDescent="0.35">
      <c r="A10" s="16">
        <f ca="1">IFERROR(__xludf.dummyfunction("""COMPUTED_VALUE"""),87)</f>
        <v>87</v>
      </c>
      <c r="B10" s="5" t="str">
        <f ca="1">IFERROR(__xludf.dummyfunction("""COMPUTED_VALUE"""),"Lyla Bell")</f>
        <v>Lyla Bell</v>
      </c>
      <c r="C10" s="5" t="str">
        <f ca="1">IFERROR(__xludf.dummyfunction("""COMPUTED_VALUE"""),"Kirkbie Kendal School")</f>
        <v>Kirkbie Kendal School</v>
      </c>
      <c r="D10" s="16" t="s">
        <v>225</v>
      </c>
      <c r="E10" s="22">
        <f ca="1">IFERROR(__xludf.dummyfunction("iferror(1000+INT(($N$2-(index(split(D9,"":""),1)*60+index(split(D9,"":""),2 )))/0.2+1)*$N$3,"""")"),874)</f>
        <v>874</v>
      </c>
      <c r="F10" s="16">
        <f ca="1">IFERROR(_xlfn.RANK.EQ(E10,E:E),"")</f>
        <v>11</v>
      </c>
      <c r="G10" s="16" t="s">
        <v>226</v>
      </c>
      <c r="H10" s="22">
        <f ca="1">IFERROR(__xludf.dummyfunction("iferror(1000+INT(($N$4-(index(split(G9,"":""),1)*60+index(split(G9,"":""),2 )))/0.2+1)*$N$5,"""")"),751)</f>
        <v>751</v>
      </c>
      <c r="I10" s="16">
        <f ca="1">IFERROR(_xlfn.RANK.EQ(H10,H:H),"")</f>
        <v>5</v>
      </c>
      <c r="J10" s="22">
        <f t="shared" ca="1" si="0"/>
        <v>1625</v>
      </c>
      <c r="K10" s="16">
        <f ca="1">IFERROR(_xlfn.RANK.EQ(J10,J:J),"")</f>
        <v>9</v>
      </c>
      <c r="L10" s="16"/>
    </row>
    <row r="11" spans="1:14" ht="14.5" x14ac:dyDescent="0.35">
      <c r="A11" s="16">
        <f ca="1">IFERROR(__xludf.dummyfunction("""COMPUTED_VALUE"""),95)</f>
        <v>95</v>
      </c>
      <c r="B11" s="5" t="str">
        <f ca="1">IFERROR(__xludf.dummyfunction("""COMPUTED_VALUE"""),"Florence Byng")</f>
        <v>Florence Byng</v>
      </c>
      <c r="C11" s="5" t="str">
        <f ca="1">IFERROR(__xludf.dummyfunction("""COMPUTED_VALUE"""),"Durham Johnston Comprehensive")</f>
        <v>Durham Johnston Comprehensive</v>
      </c>
      <c r="D11" s="16" t="s">
        <v>109</v>
      </c>
      <c r="E11" s="22">
        <f ca="1">IFERROR(__xludf.dummyfunction("iferror(1000+INT(($N$2-(index(split(D17,"":""),1)*60+index(split(D17,"":""),2 )))/0.2+1)*$N$3,"""")"),994)</f>
        <v>994</v>
      </c>
      <c r="F11" s="16">
        <f ca="1">IFERROR(_xlfn.RANK.EQ(E11,E:E),"")</f>
        <v>8</v>
      </c>
      <c r="G11" s="16" t="s">
        <v>240</v>
      </c>
      <c r="H11" s="22">
        <f ca="1">IFERROR(__xludf.dummyfunction("iferror(1000+INT(($N$4-(index(split(G17,"":""),1)*60+index(split(G17,"":""),2 )))/0.2+1)*$N$5,"""")"),535)</f>
        <v>535</v>
      </c>
      <c r="I11" s="16">
        <f ca="1">IFERROR(_xlfn.RANK.EQ(H11,H:H),"")</f>
        <v>9</v>
      </c>
      <c r="J11" s="22">
        <f t="shared" ca="1" si="0"/>
        <v>1529</v>
      </c>
      <c r="K11" s="16">
        <f ca="1">IFERROR(_xlfn.RANK.EQ(J11,J:J),"")</f>
        <v>10</v>
      </c>
      <c r="L11" s="16"/>
    </row>
    <row r="12" spans="1:14" ht="14.5" x14ac:dyDescent="0.35">
      <c r="A12" s="16">
        <f ca="1">IFERROR(__xludf.dummyfunction("""COMPUTED_VALUE"""),84)</f>
        <v>84</v>
      </c>
      <c r="B12" s="5" t="str">
        <f ca="1">IFERROR(__xludf.dummyfunction("""COMPUTED_VALUE"""),"Darcy Appleton")</f>
        <v>Darcy Appleton</v>
      </c>
      <c r="C12" s="5"/>
      <c r="D12" s="16" t="s">
        <v>219</v>
      </c>
      <c r="E12" s="22">
        <f ca="1">IFERROR(__xludf.dummyfunction("iferror(1000+INT(($N$2-(index(split(D6,"":""),1)*60+index(split(D6,"":""),2 )))/0.2+1)*$N$3,"""")"),1036)</f>
        <v>1036</v>
      </c>
      <c r="F12" s="16">
        <f ca="1">IFERROR(_xlfn.RANK.EQ(E12,E:E),"")</f>
        <v>7</v>
      </c>
      <c r="G12" s="16" t="s">
        <v>220</v>
      </c>
      <c r="H12" s="22">
        <f ca="1">IFERROR(__xludf.dummyfunction("iferror(1000+INT(($N$4-(index(split(G6,"":""),1)*60+index(split(G6,"":""),2 )))/0.2+1)*$N$5,"""")"),466)</f>
        <v>466</v>
      </c>
      <c r="I12" s="16">
        <f ca="1">IFERROR(_xlfn.RANK.EQ(H12,H:H),"")</f>
        <v>13</v>
      </c>
      <c r="J12" s="22">
        <f t="shared" ca="1" si="0"/>
        <v>1502</v>
      </c>
      <c r="K12" s="16">
        <f ca="1">IFERROR(_xlfn.RANK.EQ(J12,J:J),"")</f>
        <v>11</v>
      </c>
      <c r="L12" s="16"/>
    </row>
    <row r="13" spans="1:14" ht="14.5" x14ac:dyDescent="0.35">
      <c r="A13" s="16">
        <f ca="1">IFERROR(__xludf.dummyfunction("""COMPUTED_VALUE"""),81)</f>
        <v>81</v>
      </c>
      <c r="B13" s="5" t="str">
        <f ca="1">IFERROR(__xludf.dummyfunction("""COMPUTED_VALUE"""),"Martha Hart")</f>
        <v>Martha Hart</v>
      </c>
      <c r="C13" s="5" t="str">
        <f ca="1">IFERROR(__xludf.dummyfunction("""COMPUTED_VALUE"""),"Giggleswick School")</f>
        <v>Giggleswick School</v>
      </c>
      <c r="D13" s="16" t="s">
        <v>217</v>
      </c>
      <c r="E13" s="22">
        <f ca="1">IFERROR(__xludf.dummyfunction("iferror(1000+INT(($N$2-(index(split(D3,"":""),1)*60+index(split(D3,"":""),2 )))/0.2+1)*$N$3,"""")"),886)</f>
        <v>886</v>
      </c>
      <c r="F13" s="16"/>
      <c r="G13" s="16" t="s">
        <v>218</v>
      </c>
      <c r="H13" s="22">
        <f ca="1">IFERROR(__xludf.dummyfunction("iferror(1000+INT(($N$4-(index(split(G3,"":""),1)*60+index(split(G3,"":""),2 )))/0.2+1)*$N$5,"""")"),478)</f>
        <v>478</v>
      </c>
      <c r="I13" s="16">
        <f ca="1">IFERROR(_xlfn.RANK.EQ(H13,H:H),"")</f>
        <v>12</v>
      </c>
      <c r="J13" s="22">
        <f t="shared" ca="1" si="0"/>
        <v>1364</v>
      </c>
      <c r="K13" s="16">
        <f ca="1">IFERROR(_xlfn.RANK.EQ(J13,J:J),"")</f>
        <v>12</v>
      </c>
      <c r="L13" s="16"/>
    </row>
    <row r="14" spans="1:14" ht="14.5" x14ac:dyDescent="0.35">
      <c r="A14" s="16">
        <f ca="1">IFERROR(__xludf.dummyfunction("""COMPUTED_VALUE"""),92)</f>
        <v>92</v>
      </c>
      <c r="B14" s="5" t="str">
        <f ca="1">IFERROR(__xludf.dummyfunction("""COMPUTED_VALUE"""),"Matilda Oyston")</f>
        <v>Matilda Oyston</v>
      </c>
      <c r="C14" s="5" t="str">
        <f ca="1">IFERROR(__xludf.dummyfunction("""COMPUTED_VALUE"""),"Stonyhurst College")</f>
        <v>Stonyhurst College</v>
      </c>
      <c r="D14" s="16" t="s">
        <v>235</v>
      </c>
      <c r="E14" s="22">
        <f ca="1">IFERROR(__xludf.dummyfunction("iferror(1000+INT(($N$2-(index(split(D14,"":""),1)*60+index(split(D14,"":""),2 )))/0.2+1)*$N$3,"""")"),814)</f>
        <v>814</v>
      </c>
      <c r="F14" s="16">
        <f ca="1">IFERROR(_xlfn.RANK.EQ(E14,E:E),"")</f>
        <v>12</v>
      </c>
      <c r="G14" s="16" t="s">
        <v>236</v>
      </c>
      <c r="H14" s="22">
        <f ca="1">IFERROR(__xludf.dummyfunction("iferror(1000+INT(($N$4-(index(split(G14,"":""),1)*60+index(split(G14,"":""),2 )))/0.2+1)*$N$5,"""")"),373)</f>
        <v>373</v>
      </c>
      <c r="I14" s="16">
        <f ca="1">IFERROR(_xlfn.RANK.EQ(H14,H:H),"")</f>
        <v>14</v>
      </c>
      <c r="J14" s="22">
        <f t="shared" ca="1" si="0"/>
        <v>1187</v>
      </c>
      <c r="K14" s="16">
        <f ca="1">IFERROR(_xlfn.RANK.EQ(J14,J:J),"")</f>
        <v>13</v>
      </c>
      <c r="L14" s="16"/>
    </row>
    <row r="15" spans="1:14" ht="14.5" x14ac:dyDescent="0.35">
      <c r="A15" s="16">
        <f ca="1">IFERROR(__xludf.dummyfunction("""COMPUTED_VALUE"""),94)</f>
        <v>94</v>
      </c>
      <c r="B15" s="5" t="str">
        <f ca="1">IFERROR(__xludf.dummyfunction("""COMPUTED_VALUE"""),"Rebecca Street")</f>
        <v>Rebecca Street</v>
      </c>
      <c r="C15" s="5" t="str">
        <f ca="1">IFERROR(__xludf.dummyfunction("""COMPUTED_VALUE"""),"Durham Johnston Comprehensive")</f>
        <v>Durham Johnston Comprehensive</v>
      </c>
      <c r="D15" s="16" t="s">
        <v>238</v>
      </c>
      <c r="E15" s="22">
        <f ca="1">IFERROR(__xludf.dummyfunction("iferror(1000+INT(($N$2-(index(split(D16,"":""),1)*60+index(split(D16,"":""),2 )))/0.2+1)*$N$3,"""")"),646)</f>
        <v>646</v>
      </c>
      <c r="F15" s="16">
        <f ca="1">IFERROR(_xlfn.RANK.EQ(E15,E:E),"")</f>
        <v>15</v>
      </c>
      <c r="G15" s="16" t="s">
        <v>239</v>
      </c>
      <c r="H15" s="22">
        <f ca="1">IFERROR(__xludf.dummyfunction("iferror(1000+INT(($N$4-(index(split(G16,"":""),1)*60+index(split(G16,"":""),2 )))/0.2+1)*$N$5,"""")"),517)</f>
        <v>517</v>
      </c>
      <c r="I15" s="16">
        <f ca="1">IFERROR(_xlfn.RANK.EQ(H15,H:H),"")</f>
        <v>10</v>
      </c>
      <c r="J15" s="22">
        <f t="shared" ca="1" si="0"/>
        <v>1163</v>
      </c>
      <c r="K15" s="16">
        <f ca="1">IFERROR(_xlfn.RANK.EQ(J15,J:J),"")</f>
        <v>14</v>
      </c>
      <c r="L15" s="16"/>
    </row>
    <row r="16" spans="1:14" ht="14.5" x14ac:dyDescent="0.35">
      <c r="A16" s="16">
        <f ca="1">IFERROR(__xludf.dummyfunction("""COMPUTED_VALUE"""),86)</f>
        <v>86</v>
      </c>
      <c r="B16" s="5" t="str">
        <f ca="1">IFERROR(__xludf.dummyfunction("""COMPUTED_VALUE"""),"Lauren Cowell")</f>
        <v>Lauren Cowell</v>
      </c>
      <c r="C16" s="5" t="str">
        <f ca="1">IFERROR(__xludf.dummyfunction("""COMPUTED_VALUE"""),"Lancaster Girls Grammar School")</f>
        <v>Lancaster Girls Grammar School</v>
      </c>
      <c r="D16" s="23" t="s">
        <v>223</v>
      </c>
      <c r="E16" s="22">
        <f ca="1">IFERROR(__xludf.dummyfunction("iferror(1000+INT(($N$2-(index(split(D8,"":""),1)*60+index(split(D8,"":""),2 )))/0.2+1)*$N$3,"""")"),670)</f>
        <v>670</v>
      </c>
      <c r="F16" s="16">
        <f ca="1">IFERROR(_xlfn.RANK.EQ(E16,E:E),"")</f>
        <v>14</v>
      </c>
      <c r="G16" s="16" t="s">
        <v>224</v>
      </c>
      <c r="H16" s="22">
        <f ca="1">IFERROR(__xludf.dummyfunction("iferror(1000+INT(($N$4-(index(split(G8,"":""),1)*60+index(split(G8,"":""),2 )))/0.2+1)*$N$5,"""")"),343)</f>
        <v>343</v>
      </c>
      <c r="I16" s="16">
        <f ca="1">IFERROR(_xlfn.RANK.EQ(H16,H:H),"")</f>
        <v>15</v>
      </c>
      <c r="J16" s="22">
        <f t="shared" ca="1" si="0"/>
        <v>1013</v>
      </c>
      <c r="K16" s="16">
        <f ca="1">IFERROR(_xlfn.RANK.EQ(J16,J:J),"")</f>
        <v>15</v>
      </c>
      <c r="L16" s="16"/>
    </row>
    <row r="17" spans="1:12" ht="14.5" x14ac:dyDescent="0.35">
      <c r="A17" s="28">
        <f ca="1">IFERROR(__xludf.dummyfunction("""COMPUTED_VALUE"""),82)</f>
        <v>82</v>
      </c>
      <c r="B17" s="29" t="str">
        <f ca="1">IFERROR(__xludf.dummyfunction("""COMPUTED_VALUE"""),"Emily Niccolls")</f>
        <v>Emily Niccolls</v>
      </c>
      <c r="C17" s="29" t="str">
        <f ca="1">IFERROR(__xludf.dummyfunction("""COMPUTED_VALUE"""),"Birkenhead High School Academy")</f>
        <v>Birkenhead High School Academy</v>
      </c>
      <c r="D17" s="28"/>
      <c r="E17" s="30" t="str">
        <f ca="1">IFERROR(__xludf.dummyfunction("iferror(1000+INT(($N$2-(index(split(D4,"":""),1)*60+index(split(D4,"":""),2 )))/0.2+1)*$N$3,"""")"),"")</f>
        <v/>
      </c>
      <c r="F17" s="28" t="str">
        <f ca="1">IFERROR(_xlfn.RANK.EQ(E17,E:E),"")</f>
        <v/>
      </c>
      <c r="G17" s="28"/>
      <c r="H17" s="30" t="str">
        <f ca="1">IFERROR(__xludf.dummyfunction("iferror(1000+INT(($N$4-(index(split(G4,"":""),1)*60+index(split(G4,"":""),2 )))/0.2+1)*$N$5,"""")"),"")</f>
        <v/>
      </c>
      <c r="I17" s="28" t="str">
        <f ca="1">IFERROR(_xlfn.RANK.EQ(H17,H:H),"")</f>
        <v/>
      </c>
      <c r="J17" s="30" t="str">
        <f t="shared" si="0"/>
        <v/>
      </c>
      <c r="K17" s="28" t="s">
        <v>444</v>
      </c>
      <c r="L17" s="16"/>
    </row>
    <row r="18" spans="1:12" ht="14.5" x14ac:dyDescent="0.35">
      <c r="A18" s="28">
        <f ca="1">IFERROR(__xludf.dummyfunction("""COMPUTED_VALUE"""),83)</f>
        <v>83</v>
      </c>
      <c r="B18" s="29" t="str">
        <f ca="1">IFERROR(__xludf.dummyfunction("""COMPUTED_VALUE"""),"Lauren Cox")</f>
        <v>Lauren Cox</v>
      </c>
      <c r="C18" s="29"/>
      <c r="D18" s="28"/>
      <c r="E18" s="30" t="str">
        <f ca="1">IFERROR(__xludf.dummyfunction("iferror(1000+INT(($N$2-(index(split(D5,"":""),1)*60+index(split(D5,"":""),2 )))/0.2+1)*$N$3,"""")"),"")</f>
        <v/>
      </c>
      <c r="F18" s="28" t="str">
        <f ca="1">IFERROR(_xlfn.RANK.EQ(E18,E:E),"")</f>
        <v/>
      </c>
      <c r="G18" s="28"/>
      <c r="H18" s="30" t="str">
        <f ca="1">IFERROR(__xludf.dummyfunction("iferror(1000+INT(($N$4-(index(split(G5,"":""),1)*60+index(split(G5,"":""),2 )))/0.2+1)*$N$5,"""")"),"")</f>
        <v/>
      </c>
      <c r="I18" s="28" t="str">
        <f ca="1">IFERROR(_xlfn.RANK.EQ(H18,H:H),"")</f>
        <v/>
      </c>
      <c r="J18" s="30" t="str">
        <f t="shared" si="0"/>
        <v/>
      </c>
      <c r="K18" s="28" t="s">
        <v>444</v>
      </c>
      <c r="L18" s="16"/>
    </row>
    <row r="19" spans="1:12" ht="14.5" x14ac:dyDescent="0.35">
      <c r="A19" s="16"/>
      <c r="B19" s="16"/>
      <c r="C19" s="16"/>
      <c r="D19" s="16"/>
      <c r="E19" s="22" t="str">
        <f ca="1">IFERROR(__xludf.dummyfunction("iferror(1000+INT(($N$2-(index(split(D19,"":""),1)*60+index(split(D19,"":""),2 )))/0.2+1)*$N$3,"""")"),"")</f>
        <v/>
      </c>
      <c r="F19" s="16" t="str">
        <f t="shared" ref="F4:F35" ca="1" si="1">IFERROR(_xlfn.RANK.EQ(E19,E:E),"")</f>
        <v/>
      </c>
      <c r="G19" s="16"/>
      <c r="H19" s="22" t="str">
        <f ca="1">IFERROR(__xludf.dummyfunction("iferror(1000+INT(($N$4-(index(split(G19,"":""),1)*60+index(split(G19,"":""),2 )))/0.2+1)*$N$5,"""")"),"")</f>
        <v/>
      </c>
      <c r="I19" s="16" t="str">
        <f t="shared" ref="I2:I33" ca="1" si="2">IFERROR(_xlfn.RANK.EQ(H19,H:H),"")</f>
        <v/>
      </c>
      <c r="J19" s="22" t="str">
        <f t="shared" si="0"/>
        <v/>
      </c>
      <c r="K19" s="16" t="str">
        <f t="shared" ref="K2:K33" si="3">IFERROR(_xlfn.RANK.EQ(J19,J:J),"")</f>
        <v/>
      </c>
      <c r="L19" s="16"/>
    </row>
    <row r="20" spans="1:12" ht="14.5" x14ac:dyDescent="0.35">
      <c r="A20" s="16"/>
      <c r="B20" s="16"/>
      <c r="C20" s="16"/>
      <c r="D20" s="16"/>
      <c r="E20" s="22" t="str">
        <f ca="1">IFERROR(__xludf.dummyfunction("iferror(1000+INT(($N$2-(index(split(D20,"":""),1)*60+index(split(D20,"":""),2 )))/0.2+1)*$N$3,"""")"),"")</f>
        <v/>
      </c>
      <c r="F20" s="16" t="str">
        <f t="shared" ca="1" si="1"/>
        <v/>
      </c>
      <c r="G20" s="16"/>
      <c r="H20" s="22" t="str">
        <f ca="1">IFERROR(__xludf.dummyfunction("iferror(1000+INT(($N$4-(index(split(G20,"":""),1)*60+index(split(G20,"":""),2 )))/0.2+1)*$N$5,"""")"),"")</f>
        <v/>
      </c>
      <c r="I20" s="16" t="str">
        <f t="shared" ca="1" si="2"/>
        <v/>
      </c>
      <c r="J20" s="22" t="str">
        <f t="shared" si="0"/>
        <v/>
      </c>
      <c r="K20" s="16" t="str">
        <f t="shared" si="3"/>
        <v/>
      </c>
      <c r="L20" s="16"/>
    </row>
    <row r="21" spans="1:12" ht="14.5" x14ac:dyDescent="0.35">
      <c r="A21" s="16"/>
      <c r="B21" s="16"/>
      <c r="C21" s="16"/>
      <c r="D21" s="16"/>
      <c r="E21" s="22" t="str">
        <f ca="1">IFERROR(__xludf.dummyfunction("iferror(1000+INT(($N$2-(index(split(D21,"":""),1)*60+index(split(D21,"":""),2 )))/0.2+1)*$N$3,"""")"),"")</f>
        <v/>
      </c>
      <c r="F21" s="16" t="str">
        <f t="shared" ca="1" si="1"/>
        <v/>
      </c>
      <c r="G21" s="16"/>
      <c r="H21" s="22" t="str">
        <f ca="1">IFERROR(__xludf.dummyfunction("iferror(1000+INT(($N$4-(index(split(G21,"":""),1)*60+index(split(G21,"":""),2 )))/0.2+1)*$N$5,"""")"),"")</f>
        <v/>
      </c>
      <c r="I21" s="16" t="str">
        <f t="shared" ca="1" si="2"/>
        <v/>
      </c>
      <c r="J21" s="22" t="str">
        <f t="shared" si="0"/>
        <v/>
      </c>
      <c r="K21" s="16" t="str">
        <f t="shared" si="3"/>
        <v/>
      </c>
      <c r="L21" s="16"/>
    </row>
    <row r="22" spans="1:12" ht="14.5" x14ac:dyDescent="0.35">
      <c r="A22" s="16"/>
      <c r="B22" s="16"/>
      <c r="C22" s="16"/>
      <c r="D22" s="16"/>
      <c r="E22" s="22" t="str">
        <f ca="1">IFERROR(__xludf.dummyfunction("iferror(1000+INT(($N$2-(index(split(D22,"":""),1)*60+index(split(D22,"":""),2 )))/0.2+1)*$N$3,"""")"),"")</f>
        <v/>
      </c>
      <c r="F22" s="16" t="str">
        <f t="shared" ca="1" si="1"/>
        <v/>
      </c>
      <c r="G22" s="16"/>
      <c r="H22" s="22" t="str">
        <f ca="1">IFERROR(__xludf.dummyfunction("iferror(1000+INT(($N$4-(index(split(G22,"":""),1)*60+index(split(G22,"":""),2 )))/0.2+1)*$N$5,"""")"),"")</f>
        <v/>
      </c>
      <c r="I22" s="16" t="str">
        <f t="shared" ca="1" si="2"/>
        <v/>
      </c>
      <c r="J22" s="22" t="str">
        <f t="shared" si="0"/>
        <v/>
      </c>
      <c r="K22" s="16" t="str">
        <f t="shared" si="3"/>
        <v/>
      </c>
      <c r="L22" s="16"/>
    </row>
    <row r="23" spans="1:12" ht="14.5" x14ac:dyDescent="0.35">
      <c r="A23" s="16"/>
      <c r="B23" s="16"/>
      <c r="C23" s="16"/>
      <c r="D23" s="16"/>
      <c r="E23" s="22" t="str">
        <f ca="1">IFERROR(__xludf.dummyfunction("iferror(1000+INT(($N$2-(index(split(D23,"":""),1)*60+index(split(D23,"":""),2 )))/0.2+1)*$N$3,"""")"),"")</f>
        <v/>
      </c>
      <c r="F23" s="16" t="str">
        <f t="shared" ca="1" si="1"/>
        <v/>
      </c>
      <c r="G23" s="16"/>
      <c r="H23" s="22" t="str">
        <f ca="1">IFERROR(__xludf.dummyfunction("iferror(1000+INT(($N$4-(index(split(G23,"":""),1)*60+index(split(G23,"":""),2 )))/0.2+1)*$N$5,"""")"),"")</f>
        <v/>
      </c>
      <c r="I23" s="16" t="str">
        <f t="shared" ca="1" si="2"/>
        <v/>
      </c>
      <c r="J23" s="22" t="str">
        <f t="shared" si="0"/>
        <v/>
      </c>
      <c r="K23" s="16" t="str">
        <f t="shared" si="3"/>
        <v/>
      </c>
      <c r="L23" s="16"/>
    </row>
    <row r="24" spans="1:12" ht="14.5" x14ac:dyDescent="0.35">
      <c r="A24" s="16"/>
      <c r="B24" s="16"/>
      <c r="C24" s="16"/>
      <c r="D24" s="16"/>
      <c r="E24" s="22" t="str">
        <f ca="1">IFERROR(__xludf.dummyfunction("iferror(1000+INT(($N$2-(index(split(D24,"":""),1)*60+index(split(D24,"":""),2 )))/0.2+1)*$N$3,"""")"),"")</f>
        <v/>
      </c>
      <c r="F24" s="16" t="str">
        <f t="shared" ca="1" si="1"/>
        <v/>
      </c>
      <c r="G24" s="16"/>
      <c r="H24" s="22" t="str">
        <f ca="1">IFERROR(__xludf.dummyfunction("iferror(1000+INT(($N$4-(index(split(G24,"":""),1)*60+index(split(G24,"":""),2 )))/0.2+1)*$N$5,"""")"),"")</f>
        <v/>
      </c>
      <c r="I24" s="16" t="str">
        <f t="shared" ca="1" si="2"/>
        <v/>
      </c>
      <c r="J24" s="22" t="str">
        <f t="shared" si="0"/>
        <v/>
      </c>
      <c r="K24" s="16" t="str">
        <f t="shared" si="3"/>
        <v/>
      </c>
      <c r="L24" s="16"/>
    </row>
    <row r="25" spans="1:12" ht="14.5" x14ac:dyDescent="0.35">
      <c r="A25" s="16"/>
      <c r="B25" s="16"/>
      <c r="C25" s="16"/>
      <c r="D25" s="16"/>
      <c r="E25" s="22" t="str">
        <f ca="1">IFERROR(__xludf.dummyfunction("iferror(1000+INT(($N$2-(index(split(D25,"":""),1)*60+index(split(D25,"":""),2 )))/0.2+1)*$N$3,"""")"),"")</f>
        <v/>
      </c>
      <c r="F25" s="16" t="str">
        <f t="shared" ca="1" si="1"/>
        <v/>
      </c>
      <c r="G25" s="16"/>
      <c r="H25" s="22" t="str">
        <f ca="1">IFERROR(__xludf.dummyfunction("iferror(1000+INT(($N$4-(index(split(G25,"":""),1)*60+index(split(G25,"":""),2 )))/0.2+1)*$N$5,"""")"),"")</f>
        <v/>
      </c>
      <c r="I25" s="16" t="str">
        <f t="shared" ca="1" si="2"/>
        <v/>
      </c>
      <c r="J25" s="22" t="str">
        <f t="shared" si="0"/>
        <v/>
      </c>
      <c r="K25" s="16" t="str">
        <f t="shared" si="3"/>
        <v/>
      </c>
      <c r="L25" s="16"/>
    </row>
    <row r="26" spans="1:12" ht="14.5" x14ac:dyDescent="0.35">
      <c r="A26" s="16"/>
      <c r="B26" s="16"/>
      <c r="C26" s="16"/>
      <c r="D26" s="16"/>
      <c r="E26" s="22" t="str">
        <f ca="1">IFERROR(__xludf.dummyfunction("iferror(1000+INT(($N$2-(index(split(D26,"":""),1)*60+index(split(D26,"":""),2 )))/0.2+1)*$N$3,"""")"),"")</f>
        <v/>
      </c>
      <c r="F26" s="16" t="str">
        <f t="shared" ca="1" si="1"/>
        <v/>
      </c>
      <c r="G26" s="16"/>
      <c r="H26" s="22" t="str">
        <f ca="1">IFERROR(__xludf.dummyfunction("iferror(1000+INT(($N$4-(index(split(G26,"":""),1)*60+index(split(G26,"":""),2 )))/0.2+1)*$N$5,"""")"),"")</f>
        <v/>
      </c>
      <c r="I26" s="16" t="str">
        <f t="shared" ca="1" si="2"/>
        <v/>
      </c>
      <c r="J26" s="22" t="str">
        <f t="shared" si="0"/>
        <v/>
      </c>
      <c r="K26" s="16" t="str">
        <f t="shared" si="3"/>
        <v/>
      </c>
      <c r="L26" s="16"/>
    </row>
    <row r="27" spans="1:12" ht="14.5" x14ac:dyDescent="0.35">
      <c r="A27" s="16"/>
      <c r="B27" s="16"/>
      <c r="C27" s="16"/>
      <c r="D27" s="16"/>
      <c r="E27" s="22" t="str">
        <f ca="1">IFERROR(__xludf.dummyfunction("iferror(1000+INT(($N$2-(index(split(D27,"":""),1)*60+index(split(D27,"":""),2 )))/0.2+1)*$N$3,"""")"),"")</f>
        <v/>
      </c>
      <c r="F27" s="16" t="str">
        <f t="shared" ca="1" si="1"/>
        <v/>
      </c>
      <c r="G27" s="16"/>
      <c r="H27" s="22" t="str">
        <f ca="1">IFERROR(__xludf.dummyfunction("iferror(1000+INT(($N$4-(index(split(G27,"":""),1)*60+index(split(G27,"":""),2 )))/0.2+1)*$N$5,"""")"),"")</f>
        <v/>
      </c>
      <c r="I27" s="16" t="str">
        <f t="shared" ca="1" si="2"/>
        <v/>
      </c>
      <c r="J27" s="22" t="str">
        <f t="shared" si="0"/>
        <v/>
      </c>
      <c r="K27" s="16" t="str">
        <f t="shared" si="3"/>
        <v/>
      </c>
      <c r="L27" s="16"/>
    </row>
    <row r="28" spans="1:12" ht="14.5" x14ac:dyDescent="0.35">
      <c r="A28" s="16"/>
      <c r="B28" s="16"/>
      <c r="C28" s="16"/>
      <c r="D28" s="16"/>
      <c r="E28" s="22" t="str">
        <f ca="1">IFERROR(__xludf.dummyfunction("iferror(1000+INT(($N$2-(index(split(D28,"":""),1)*60+index(split(D28,"":""),2 )))/0.2+1)*$N$3,"""")"),"")</f>
        <v/>
      </c>
      <c r="F28" s="16" t="str">
        <f t="shared" ca="1" si="1"/>
        <v/>
      </c>
      <c r="G28" s="16"/>
      <c r="H28" s="22" t="str">
        <f ca="1">IFERROR(__xludf.dummyfunction("iferror(1000+INT(($N$4-(index(split(G28,"":""),1)*60+index(split(G28,"":""),2 )))/0.2+1)*$N$5,"""")"),"")</f>
        <v/>
      </c>
      <c r="I28" s="16" t="str">
        <f t="shared" ca="1" si="2"/>
        <v/>
      </c>
      <c r="J28" s="22" t="str">
        <f t="shared" si="0"/>
        <v/>
      </c>
      <c r="K28" s="16" t="str">
        <f t="shared" si="3"/>
        <v/>
      </c>
      <c r="L28" s="16"/>
    </row>
    <row r="29" spans="1:12" ht="14.5" x14ac:dyDescent="0.35">
      <c r="A29" s="16"/>
      <c r="B29" s="16"/>
      <c r="C29" s="16"/>
      <c r="D29" s="16"/>
      <c r="E29" s="22" t="str">
        <f ca="1">IFERROR(__xludf.dummyfunction("iferror(1000+INT(($N$2-(index(split(D29,"":""),1)*60+index(split(D29,"":""),2 )))/0.2+1)*$N$3,"""")"),"")</f>
        <v/>
      </c>
      <c r="F29" s="16" t="str">
        <f t="shared" ca="1" si="1"/>
        <v/>
      </c>
      <c r="G29" s="16"/>
      <c r="H29" s="22" t="str">
        <f ca="1">IFERROR(__xludf.dummyfunction("iferror(1000+INT(($N$4-(index(split(G29,"":""),1)*60+index(split(G29,"":""),2 )))/0.2+1)*$N$5,"""")"),"")</f>
        <v/>
      </c>
      <c r="I29" s="16" t="str">
        <f t="shared" ca="1" si="2"/>
        <v/>
      </c>
      <c r="J29" s="22" t="str">
        <f t="shared" si="0"/>
        <v/>
      </c>
      <c r="K29" s="16" t="str">
        <f t="shared" si="3"/>
        <v/>
      </c>
      <c r="L29" s="16"/>
    </row>
    <row r="30" spans="1:12" ht="14.5" x14ac:dyDescent="0.35">
      <c r="A30" s="16"/>
      <c r="B30" s="16"/>
      <c r="C30" s="16"/>
      <c r="D30" s="16"/>
      <c r="E30" s="22" t="str">
        <f ca="1">IFERROR(__xludf.dummyfunction("iferror(1000+INT(($N$2-(index(split(D30,"":""),1)*60+index(split(D30,"":""),2 )))/0.2+1)*$N$3,"""")"),"")</f>
        <v/>
      </c>
      <c r="F30" s="16" t="str">
        <f t="shared" ca="1" si="1"/>
        <v/>
      </c>
      <c r="G30" s="16"/>
      <c r="H30" s="22" t="str">
        <f ca="1">IFERROR(__xludf.dummyfunction("iferror(1000+INT(($N$4-(index(split(G30,"":""),1)*60+index(split(G30,"":""),2 )))/0.2+1)*$N$5,"""")"),"")</f>
        <v/>
      </c>
      <c r="I30" s="16" t="str">
        <f t="shared" ca="1" si="2"/>
        <v/>
      </c>
      <c r="J30" s="22" t="str">
        <f t="shared" si="0"/>
        <v/>
      </c>
      <c r="K30" s="16" t="str">
        <f t="shared" si="3"/>
        <v/>
      </c>
      <c r="L30" s="16"/>
    </row>
    <row r="31" spans="1:12" ht="14.5" x14ac:dyDescent="0.35">
      <c r="A31" s="16"/>
      <c r="B31" s="16"/>
      <c r="C31" s="16"/>
      <c r="D31" s="16"/>
      <c r="E31" s="22" t="str">
        <f ca="1">IFERROR(__xludf.dummyfunction("iferror(1000+INT(($N$2-(index(split(D31,"":""),1)*60+index(split(D31,"":""),2 )))/0.2+1)*$N$3,"""")"),"")</f>
        <v/>
      </c>
      <c r="F31" s="16" t="str">
        <f t="shared" ca="1" si="1"/>
        <v/>
      </c>
      <c r="G31" s="16"/>
      <c r="H31" s="22" t="str">
        <f ca="1">IFERROR(__xludf.dummyfunction("iferror(1000+INT(($N$4-(index(split(G31,"":""),1)*60+index(split(G31,"":""),2 )))/0.2+1)*$N$5,"""")"),"")</f>
        <v/>
      </c>
      <c r="I31" s="16" t="str">
        <f t="shared" ca="1" si="2"/>
        <v/>
      </c>
      <c r="J31" s="22" t="str">
        <f t="shared" si="0"/>
        <v/>
      </c>
      <c r="K31" s="16" t="str">
        <f t="shared" si="3"/>
        <v/>
      </c>
      <c r="L31" s="16"/>
    </row>
    <row r="32" spans="1:12" ht="14.5" x14ac:dyDescent="0.35">
      <c r="A32" s="16"/>
      <c r="B32" s="16"/>
      <c r="C32" s="16"/>
      <c r="D32" s="16"/>
      <c r="E32" s="22" t="str">
        <f ca="1">IFERROR(__xludf.dummyfunction("iferror(1000+INT(($N$2-(index(split(D32,"":""),1)*60+index(split(D32,"":""),2 )))/0.2+1)*$N$3,"""")"),"")</f>
        <v/>
      </c>
      <c r="F32" s="16" t="str">
        <f t="shared" ca="1" si="1"/>
        <v/>
      </c>
      <c r="G32" s="16"/>
      <c r="H32" s="22" t="str">
        <f ca="1">IFERROR(__xludf.dummyfunction("iferror(1000+INT(($N$4-(index(split(G32,"":""),1)*60+index(split(G32,"":""),2 )))/0.2+1)*$N$5,"""")"),"")</f>
        <v/>
      </c>
      <c r="I32" s="16" t="str">
        <f t="shared" ca="1" si="2"/>
        <v/>
      </c>
      <c r="J32" s="22" t="str">
        <f t="shared" si="0"/>
        <v/>
      </c>
      <c r="K32" s="16" t="str">
        <f t="shared" si="3"/>
        <v/>
      </c>
      <c r="L32" s="16"/>
    </row>
    <row r="33" spans="1:12" ht="14.5" x14ac:dyDescent="0.35">
      <c r="A33" s="16"/>
      <c r="B33" s="16"/>
      <c r="C33" s="16"/>
      <c r="D33" s="16"/>
      <c r="E33" s="22" t="str">
        <f ca="1">IFERROR(__xludf.dummyfunction("iferror(1000+INT(($N$2-(index(split(D33,"":""),1)*60+index(split(D33,"":""),2 )))/0.2+1)*$N$3,"""")"),"")</f>
        <v/>
      </c>
      <c r="F33" s="16" t="str">
        <f t="shared" ca="1" si="1"/>
        <v/>
      </c>
      <c r="G33" s="16"/>
      <c r="H33" s="22" t="str">
        <f ca="1">IFERROR(__xludf.dummyfunction("iferror(1000+INT(($N$4-(index(split(G33,"":""),1)*60+index(split(G33,"":""),2 )))/0.2+1)*$N$5,"""")"),"")</f>
        <v/>
      </c>
      <c r="I33" s="16" t="str">
        <f t="shared" ca="1" si="2"/>
        <v/>
      </c>
      <c r="J33" s="22" t="str">
        <f t="shared" si="0"/>
        <v/>
      </c>
      <c r="K33" s="16" t="str">
        <f t="shared" si="3"/>
        <v/>
      </c>
      <c r="L33" s="16"/>
    </row>
    <row r="34" spans="1:12" ht="14.5" x14ac:dyDescent="0.35">
      <c r="A34" s="16"/>
      <c r="B34" s="16"/>
      <c r="C34" s="16"/>
      <c r="D34" s="16"/>
      <c r="E34" s="22" t="str">
        <f ca="1">IFERROR(__xludf.dummyfunction("iferror(1000+INT(($N$2-(index(split(D34,"":""),1)*60+index(split(D34,"":""),2 )))/0.2+1)*$N$3,"""")"),"")</f>
        <v/>
      </c>
      <c r="F34" s="16" t="str">
        <f t="shared" ca="1" si="1"/>
        <v/>
      </c>
      <c r="G34" s="16"/>
      <c r="H34" s="22" t="str">
        <f ca="1">IFERROR(__xludf.dummyfunction("iferror(1000+INT(($N$4-(index(split(G34,"":""),1)*60+index(split(G34,"":""),2 )))/0.2+1)*$N$5,"""")"),"")</f>
        <v/>
      </c>
      <c r="I34" s="16" t="str">
        <f t="shared" ref="I34:I65" ca="1" si="4">IFERROR(_xlfn.RANK.EQ(H34,H:H),"")</f>
        <v/>
      </c>
      <c r="J34" s="22" t="str">
        <f t="shared" si="0"/>
        <v/>
      </c>
      <c r="K34" s="16" t="str">
        <f t="shared" ref="K34:K65" si="5">IFERROR(_xlfn.RANK.EQ(J34,J:J),"")</f>
        <v/>
      </c>
      <c r="L34" s="16"/>
    </row>
    <row r="35" spans="1:12" ht="14.5" x14ac:dyDescent="0.35">
      <c r="A35" s="16"/>
      <c r="B35" s="16"/>
      <c r="C35" s="16"/>
      <c r="D35" s="16"/>
      <c r="E35" s="22" t="str">
        <f ca="1">IFERROR(__xludf.dummyfunction("iferror(1000+INT(($N$2-(index(split(D35,"":""),1)*60+index(split(D35,"":""),2 )))/0.2+1)*$N$3,"""")"),"")</f>
        <v/>
      </c>
      <c r="F35" s="16" t="str">
        <f t="shared" ca="1" si="1"/>
        <v/>
      </c>
      <c r="G35" s="16"/>
      <c r="H35" s="22" t="str">
        <f ca="1">IFERROR(__xludf.dummyfunction("iferror(1000+INT(($N$4-(index(split(G35,"":""),1)*60+index(split(G35,"":""),2 )))/0.2+1)*$N$5,"""")"),"")</f>
        <v/>
      </c>
      <c r="I35" s="16" t="str">
        <f t="shared" ca="1" si="4"/>
        <v/>
      </c>
      <c r="J35" s="22" t="str">
        <f t="shared" si="0"/>
        <v/>
      </c>
      <c r="K35" s="16" t="str">
        <f t="shared" si="5"/>
        <v/>
      </c>
      <c r="L35" s="16"/>
    </row>
    <row r="36" spans="1:12" ht="14.5" x14ac:dyDescent="0.35">
      <c r="A36" s="16"/>
      <c r="B36" s="16"/>
      <c r="C36" s="16"/>
      <c r="D36" s="16"/>
      <c r="E36" s="22" t="str">
        <f ca="1">IFERROR(__xludf.dummyfunction("iferror(1000+INT(($N$2-(index(split(D36,"":""),1)*60+index(split(D36,"":""),2 )))/0.2+1)*$N$3,"""")"),"")</f>
        <v/>
      </c>
      <c r="F36" s="16" t="str">
        <f t="shared" ref="F36:F67" ca="1" si="6">IFERROR(_xlfn.RANK.EQ(E36,E:E),"")</f>
        <v/>
      </c>
      <c r="G36" s="16"/>
      <c r="H36" s="22" t="str">
        <f ca="1">IFERROR(__xludf.dummyfunction("iferror(1000+INT(($N$4-(index(split(G36,"":""),1)*60+index(split(G36,"":""),2 )))/0.2+1)*$N$5,"""")"),"")</f>
        <v/>
      </c>
      <c r="I36" s="16" t="str">
        <f t="shared" ca="1" si="4"/>
        <v/>
      </c>
      <c r="J36" s="22" t="str">
        <f t="shared" si="0"/>
        <v/>
      </c>
      <c r="K36" s="16" t="str">
        <f t="shared" si="5"/>
        <v/>
      </c>
      <c r="L36" s="16"/>
    </row>
    <row r="37" spans="1:12" ht="14.5" x14ac:dyDescent="0.35">
      <c r="A37" s="16"/>
      <c r="B37" s="16"/>
      <c r="C37" s="16"/>
      <c r="D37" s="16"/>
      <c r="E37" s="22" t="str">
        <f ca="1">IFERROR(__xludf.dummyfunction("iferror(1000+INT(($N$2-(index(split(D37,"":""),1)*60+index(split(D37,"":""),2 )))/0.2+1)*$N$3,"""")"),"")</f>
        <v/>
      </c>
      <c r="F37" s="16" t="str">
        <f t="shared" ca="1" si="6"/>
        <v/>
      </c>
      <c r="G37" s="16"/>
      <c r="H37" s="22" t="str">
        <f ca="1">IFERROR(__xludf.dummyfunction("iferror(1000+INT(($N$4-(index(split(G37,"":""),1)*60+index(split(G37,"":""),2 )))/0.2+1)*$N$5,"""")"),"")</f>
        <v/>
      </c>
      <c r="I37" s="16" t="str">
        <f t="shared" ca="1" si="4"/>
        <v/>
      </c>
      <c r="J37" s="22" t="str">
        <f t="shared" si="0"/>
        <v/>
      </c>
      <c r="K37" s="16" t="str">
        <f t="shared" si="5"/>
        <v/>
      </c>
      <c r="L37" s="16"/>
    </row>
    <row r="38" spans="1:12" ht="14.5" x14ac:dyDescent="0.35">
      <c r="A38" s="16"/>
      <c r="B38" s="16"/>
      <c r="C38" s="16"/>
      <c r="D38" s="16"/>
      <c r="E38" s="22" t="str">
        <f ca="1">IFERROR(__xludf.dummyfunction("iferror(1000+INT(($N$2-(index(split(D38,"":""),1)*60+index(split(D38,"":""),2 )))/0.2+1)*$N$3,"""")"),"")</f>
        <v/>
      </c>
      <c r="F38" s="16" t="str">
        <f t="shared" ca="1" si="6"/>
        <v/>
      </c>
      <c r="G38" s="16"/>
      <c r="H38" s="22" t="str">
        <f ca="1">IFERROR(__xludf.dummyfunction("iferror(1000+INT(($N$4-(index(split(G38,"":""),1)*60+index(split(G38,"":""),2 )))/0.2+1)*$N$5,"""")"),"")</f>
        <v/>
      </c>
      <c r="I38" s="16" t="str">
        <f t="shared" ca="1" si="4"/>
        <v/>
      </c>
      <c r="J38" s="22" t="str">
        <f t="shared" si="0"/>
        <v/>
      </c>
      <c r="K38" s="16" t="str">
        <f t="shared" si="5"/>
        <v/>
      </c>
      <c r="L38" s="16"/>
    </row>
    <row r="39" spans="1:12" ht="14.5" x14ac:dyDescent="0.35">
      <c r="A39" s="16"/>
      <c r="B39" s="16"/>
      <c r="C39" s="16"/>
      <c r="D39" s="16"/>
      <c r="E39" s="22" t="str">
        <f ca="1">IFERROR(__xludf.dummyfunction("iferror(1000+INT(($N$2-(index(split(D39,"":""),1)*60+index(split(D39,"":""),2 )))/0.2+1)*$N$3,"""")"),"")</f>
        <v/>
      </c>
      <c r="F39" s="16" t="str">
        <f t="shared" ca="1" si="6"/>
        <v/>
      </c>
      <c r="G39" s="16"/>
      <c r="H39" s="22" t="str">
        <f ca="1">IFERROR(__xludf.dummyfunction("iferror(1000+INT(($N$4-(index(split(G39,"":""),1)*60+index(split(G39,"":""),2 )))/0.2+1)*$N$5,"""")"),"")</f>
        <v/>
      </c>
      <c r="I39" s="16" t="str">
        <f t="shared" ca="1" si="4"/>
        <v/>
      </c>
      <c r="J39" s="22" t="str">
        <f t="shared" si="0"/>
        <v/>
      </c>
      <c r="K39" s="16" t="str">
        <f t="shared" si="5"/>
        <v/>
      </c>
      <c r="L39" s="16"/>
    </row>
    <row r="40" spans="1:12" ht="14.5" x14ac:dyDescent="0.35">
      <c r="A40" s="16"/>
      <c r="B40" s="16"/>
      <c r="C40" s="16"/>
      <c r="D40" s="16"/>
      <c r="E40" s="22" t="str">
        <f ca="1">IFERROR(__xludf.dummyfunction("iferror(1000+INT(($N$2-(index(split(D40,"":""),1)*60+index(split(D40,"":""),2 )))/0.2+1)*$N$3,"""")"),"")</f>
        <v/>
      </c>
      <c r="F40" s="16" t="str">
        <f t="shared" ca="1" si="6"/>
        <v/>
      </c>
      <c r="G40" s="16"/>
      <c r="H40" s="22" t="str">
        <f ca="1">IFERROR(__xludf.dummyfunction("iferror(1000+INT(($N$4-(index(split(G40,"":""),1)*60+index(split(G40,"":""),2 )))/0.2+1)*$N$5,"""")"),"")</f>
        <v/>
      </c>
      <c r="I40" s="16" t="str">
        <f t="shared" ca="1" si="4"/>
        <v/>
      </c>
      <c r="J40" s="22" t="str">
        <f t="shared" si="0"/>
        <v/>
      </c>
      <c r="K40" s="16" t="str">
        <f t="shared" si="5"/>
        <v/>
      </c>
      <c r="L40" s="16"/>
    </row>
    <row r="41" spans="1:12" ht="14.5" x14ac:dyDescent="0.35">
      <c r="A41" s="16"/>
      <c r="B41" s="16"/>
      <c r="C41" s="16"/>
      <c r="D41" s="16"/>
      <c r="E41" s="22" t="str">
        <f ca="1">IFERROR(__xludf.dummyfunction("iferror(1000+INT(($N$2-(index(split(D41,"":""),1)*60+index(split(D41,"":""),2 )))/0.2+1)*$N$3,"""")"),"")</f>
        <v/>
      </c>
      <c r="F41" s="16" t="str">
        <f t="shared" ca="1" si="6"/>
        <v/>
      </c>
      <c r="G41" s="16"/>
      <c r="H41" s="22" t="str">
        <f ca="1">IFERROR(__xludf.dummyfunction("iferror(1000+INT(($N$4-(index(split(G41,"":""),1)*60+index(split(G41,"":""),2 )))/0.2+1)*$N$5,"""")"),"")</f>
        <v/>
      </c>
      <c r="I41" s="16" t="str">
        <f t="shared" ca="1" si="4"/>
        <v/>
      </c>
      <c r="J41" s="22" t="str">
        <f t="shared" si="0"/>
        <v/>
      </c>
      <c r="K41" s="16" t="str">
        <f t="shared" si="5"/>
        <v/>
      </c>
      <c r="L41" s="16"/>
    </row>
    <row r="42" spans="1:12" ht="14.5" x14ac:dyDescent="0.35">
      <c r="A42" s="16"/>
      <c r="B42" s="16"/>
      <c r="C42" s="16"/>
      <c r="D42" s="16"/>
      <c r="E42" s="22" t="str">
        <f ca="1">IFERROR(__xludf.dummyfunction("iferror(1000+INT(($N$2-(index(split(D42,"":""),1)*60+index(split(D42,"":""),2 )))/0.2+1)*$N$3,"""")"),"")</f>
        <v/>
      </c>
      <c r="F42" s="16" t="str">
        <f t="shared" ca="1" si="6"/>
        <v/>
      </c>
      <c r="G42" s="16"/>
      <c r="H42" s="22" t="str">
        <f ca="1">IFERROR(__xludf.dummyfunction("iferror(1000+INT(($N$4-(index(split(G42,"":""),1)*60+index(split(G42,"":""),2 )))/0.2+1)*$N$5,"""")"),"")</f>
        <v/>
      </c>
      <c r="I42" s="16" t="str">
        <f t="shared" ca="1" si="4"/>
        <v/>
      </c>
      <c r="J42" s="22" t="str">
        <f t="shared" si="0"/>
        <v/>
      </c>
      <c r="K42" s="16" t="str">
        <f t="shared" si="5"/>
        <v/>
      </c>
      <c r="L42" s="16"/>
    </row>
    <row r="43" spans="1:12" ht="14.5" x14ac:dyDescent="0.35">
      <c r="A43" s="16"/>
      <c r="B43" s="16"/>
      <c r="C43" s="16"/>
      <c r="D43" s="16"/>
      <c r="E43" s="22" t="str">
        <f ca="1">IFERROR(__xludf.dummyfunction("iferror(1000+INT(($N$2-(index(split(D43,"":""),1)*60+index(split(D43,"":""),2 )))/0.2+1)*$N$3,"""")"),"")</f>
        <v/>
      </c>
      <c r="F43" s="16" t="str">
        <f t="shared" ca="1" si="6"/>
        <v/>
      </c>
      <c r="G43" s="16"/>
      <c r="H43" s="22" t="str">
        <f ca="1">IFERROR(__xludf.dummyfunction("iferror(1000+INT(($N$4-(index(split(G43,"":""),1)*60+index(split(G43,"":""),2 )))/0.2+1)*$N$5,"""")"),"")</f>
        <v/>
      </c>
      <c r="I43" s="16" t="str">
        <f t="shared" ca="1" si="4"/>
        <v/>
      </c>
      <c r="J43" s="22" t="str">
        <f t="shared" si="0"/>
        <v/>
      </c>
      <c r="K43" s="16" t="str">
        <f t="shared" si="5"/>
        <v/>
      </c>
      <c r="L43" s="16"/>
    </row>
    <row r="44" spans="1:12" ht="14.5" x14ac:dyDescent="0.35">
      <c r="A44" s="16"/>
      <c r="B44" s="16"/>
      <c r="C44" s="16"/>
      <c r="D44" s="16"/>
      <c r="E44" s="22" t="str">
        <f ca="1">IFERROR(__xludf.dummyfunction("iferror(1000+INT(($N$2-(index(split(D44,"":""),1)*60+index(split(D44,"":""),2 )))/0.2+1)*$N$3,"""")"),"")</f>
        <v/>
      </c>
      <c r="F44" s="16" t="str">
        <f t="shared" ca="1" si="6"/>
        <v/>
      </c>
      <c r="G44" s="16"/>
      <c r="H44" s="22" t="str">
        <f ca="1">IFERROR(__xludf.dummyfunction("iferror(1000+INT(($N$4-(index(split(G44,"":""),1)*60+index(split(G44,"":""),2 )))/0.2+1)*$N$5,"""")"),"")</f>
        <v/>
      </c>
      <c r="I44" s="16" t="str">
        <f t="shared" ca="1" si="4"/>
        <v/>
      </c>
      <c r="J44" s="22" t="str">
        <f t="shared" si="0"/>
        <v/>
      </c>
      <c r="K44" s="16" t="str">
        <f t="shared" si="5"/>
        <v/>
      </c>
      <c r="L44" s="16"/>
    </row>
    <row r="45" spans="1:12" ht="14.5" x14ac:dyDescent="0.35">
      <c r="A45" s="16"/>
      <c r="B45" s="16"/>
      <c r="C45" s="16"/>
      <c r="D45" s="16"/>
      <c r="E45" s="22" t="str">
        <f ca="1">IFERROR(__xludf.dummyfunction("iferror(1000+INT(($N$2-(index(split(D45,"":""),1)*60+index(split(D45,"":""),2 )))/0.2+1)*$N$3,"""")"),"")</f>
        <v/>
      </c>
      <c r="F45" s="16" t="str">
        <f t="shared" ca="1" si="6"/>
        <v/>
      </c>
      <c r="G45" s="16"/>
      <c r="H45" s="22" t="str">
        <f ca="1">IFERROR(__xludf.dummyfunction("iferror(1000+INT(($N$4-(index(split(G45,"":""),1)*60+index(split(G45,"":""),2 )))/0.2+1)*$N$5,"""")"),"")</f>
        <v/>
      </c>
      <c r="I45" s="16" t="str">
        <f t="shared" ca="1" si="4"/>
        <v/>
      </c>
      <c r="J45" s="22" t="str">
        <f t="shared" si="0"/>
        <v/>
      </c>
      <c r="K45" s="16" t="str">
        <f t="shared" si="5"/>
        <v/>
      </c>
      <c r="L45" s="16"/>
    </row>
    <row r="46" spans="1:12" ht="14.5" x14ac:dyDescent="0.35">
      <c r="A46" s="16"/>
      <c r="B46" s="16"/>
      <c r="C46" s="16"/>
      <c r="D46" s="16"/>
      <c r="E46" s="22" t="str">
        <f ca="1">IFERROR(__xludf.dummyfunction("iferror(1000+INT(($N$2-(index(split(D46,"":""),1)*60+index(split(D46,"":""),2 )))/0.2+1)*$N$3,"""")"),"")</f>
        <v/>
      </c>
      <c r="F46" s="16" t="str">
        <f t="shared" ca="1" si="6"/>
        <v/>
      </c>
      <c r="G46" s="16"/>
      <c r="H46" s="22" t="str">
        <f ca="1">IFERROR(__xludf.dummyfunction("iferror(1000+INT(($N$4-(index(split(G46,"":""),1)*60+index(split(G46,"":""),2 )))/0.2+1)*$N$5,"""")"),"")</f>
        <v/>
      </c>
      <c r="I46" s="16" t="str">
        <f t="shared" ca="1" si="4"/>
        <v/>
      </c>
      <c r="J46" s="16" t="str">
        <f t="shared" ref="J34:J65" si="7">IF(AND(D46="", G46=""), "", E46+H46)</f>
        <v/>
      </c>
      <c r="K46" s="16" t="str">
        <f t="shared" si="5"/>
        <v/>
      </c>
      <c r="L46" s="16"/>
    </row>
    <row r="47" spans="1:12" ht="14.5" x14ac:dyDescent="0.35">
      <c r="A47" s="16"/>
      <c r="B47" s="16"/>
      <c r="C47" s="16"/>
      <c r="D47" s="16"/>
      <c r="E47" s="22" t="str">
        <f ca="1">IFERROR(__xludf.dummyfunction("iferror(1000+INT(($N$2-(index(split(D47,"":""),1)*60+index(split(D47,"":""),2 )))/0.2+1)*$N$3,"""")"),"")</f>
        <v/>
      </c>
      <c r="F47" s="16" t="str">
        <f t="shared" ca="1" si="6"/>
        <v/>
      </c>
      <c r="G47" s="16"/>
      <c r="H47" s="22" t="str">
        <f ca="1">IFERROR(__xludf.dummyfunction("iferror(1000+INT(($N$4-(index(split(G47,"":""),1)*60+index(split(G47,"":""),2 )))/0.2+1)*$N$5,"""")"),"")</f>
        <v/>
      </c>
      <c r="I47" s="16" t="str">
        <f t="shared" ca="1" si="4"/>
        <v/>
      </c>
      <c r="J47" s="16" t="str">
        <f t="shared" si="7"/>
        <v/>
      </c>
      <c r="K47" s="16" t="str">
        <f t="shared" si="5"/>
        <v/>
      </c>
      <c r="L47" s="16"/>
    </row>
    <row r="48" spans="1:12" ht="14.5" x14ac:dyDescent="0.35">
      <c r="A48" s="16"/>
      <c r="B48" s="16"/>
      <c r="C48" s="16"/>
      <c r="D48" s="16"/>
      <c r="E48" s="22" t="str">
        <f ca="1">IFERROR(__xludf.dummyfunction("iferror(1000+INT(($N$2-(index(split(D48,"":""),1)*60+index(split(D48,"":""),2 )))/0.2+1)*$N$3,"""")"),"")</f>
        <v/>
      </c>
      <c r="F48" s="16" t="str">
        <f t="shared" ca="1" si="6"/>
        <v/>
      </c>
      <c r="G48" s="16"/>
      <c r="H48" s="22" t="str">
        <f ca="1">IFERROR(__xludf.dummyfunction("iferror(1000+INT(($N$4-(index(split(G48,"":""),1)*60+index(split(G48,"":""),2 )))/0.2+1)*$N$5,"""")"),"")</f>
        <v/>
      </c>
      <c r="I48" s="16" t="str">
        <f t="shared" ca="1" si="4"/>
        <v/>
      </c>
      <c r="J48" s="16" t="str">
        <f t="shared" si="7"/>
        <v/>
      </c>
      <c r="K48" s="16" t="str">
        <f t="shared" si="5"/>
        <v/>
      </c>
      <c r="L48" s="16"/>
    </row>
    <row r="49" spans="1:12" ht="14.5" x14ac:dyDescent="0.35">
      <c r="A49" s="16"/>
      <c r="B49" s="16"/>
      <c r="C49" s="16"/>
      <c r="D49" s="16"/>
      <c r="E49" s="22" t="str">
        <f ca="1">IFERROR(__xludf.dummyfunction("iferror(1000+INT(($N$2-(index(split(D49,"":""),1)*60+index(split(D49,"":""),2 )))/0.2+1)*$N$3,"""")"),"")</f>
        <v/>
      </c>
      <c r="F49" s="16" t="str">
        <f t="shared" ca="1" si="6"/>
        <v/>
      </c>
      <c r="G49" s="16"/>
      <c r="H49" s="22" t="str">
        <f ca="1">IFERROR(__xludf.dummyfunction("iferror(1000+INT(($N$4-(index(split(G49,"":""),1)*60+index(split(G49,"":""),2 )))/0.2+1)*$N$5,"""")"),"")</f>
        <v/>
      </c>
      <c r="I49" s="16" t="str">
        <f t="shared" ca="1" si="4"/>
        <v/>
      </c>
      <c r="J49" s="16" t="str">
        <f t="shared" si="7"/>
        <v/>
      </c>
      <c r="K49" s="16" t="str">
        <f t="shared" si="5"/>
        <v/>
      </c>
      <c r="L49" s="16"/>
    </row>
    <row r="50" spans="1:12" ht="14.5" x14ac:dyDescent="0.35">
      <c r="A50" s="16"/>
      <c r="B50" s="16"/>
      <c r="C50" s="16"/>
      <c r="D50" s="16"/>
      <c r="E50" s="22" t="str">
        <f ca="1">IFERROR(__xludf.dummyfunction("iferror(1000+INT(($N$2-(index(split(D50,"":""),1)*60+index(split(D50,"":""),2 )))/0.2+1)*$N$3,"""")"),"")</f>
        <v/>
      </c>
      <c r="F50" s="16" t="str">
        <f t="shared" ca="1" si="6"/>
        <v/>
      </c>
      <c r="G50" s="16"/>
      <c r="H50" s="22" t="str">
        <f ca="1">IFERROR(__xludf.dummyfunction("iferror(1000+INT(($N$4-(index(split(G50,"":""),1)*60+index(split(G50,"":""),2 )))/0.2+1)*$N$5,"""")"),"")</f>
        <v/>
      </c>
      <c r="I50" s="16" t="str">
        <f t="shared" ca="1" si="4"/>
        <v/>
      </c>
      <c r="J50" s="16" t="str">
        <f t="shared" si="7"/>
        <v/>
      </c>
      <c r="K50" s="16" t="str">
        <f t="shared" si="5"/>
        <v/>
      </c>
      <c r="L50" s="16"/>
    </row>
    <row r="51" spans="1:12" ht="14.5" x14ac:dyDescent="0.35">
      <c r="A51" s="16"/>
      <c r="B51" s="16"/>
      <c r="C51" s="16"/>
      <c r="D51" s="16"/>
      <c r="E51" s="22" t="str">
        <f ca="1">IFERROR(__xludf.dummyfunction("iferror(1000+INT(($N$2-(index(split(D51,"":""),1)*60+index(split(D51,"":""),2 )))/0.2+1)*$N$3,"""")"),"")</f>
        <v/>
      </c>
      <c r="F51" s="16" t="str">
        <f t="shared" ca="1" si="6"/>
        <v/>
      </c>
      <c r="G51" s="16"/>
      <c r="H51" s="22" t="str">
        <f ca="1">IFERROR(__xludf.dummyfunction("iferror(1000+INT(($N$4-(index(split(G51,"":""),1)*60+index(split(G51,"":""),2 )))/0.2+1)*$N$5,"""")"),"")</f>
        <v/>
      </c>
      <c r="I51" s="16" t="str">
        <f t="shared" ca="1" si="4"/>
        <v/>
      </c>
      <c r="J51" s="16" t="str">
        <f t="shared" si="7"/>
        <v/>
      </c>
      <c r="K51" s="16" t="str">
        <f t="shared" si="5"/>
        <v/>
      </c>
      <c r="L51" s="16"/>
    </row>
    <row r="52" spans="1:12" ht="14.5" x14ac:dyDescent="0.35">
      <c r="A52" s="16"/>
      <c r="B52" s="16"/>
      <c r="C52" s="16"/>
      <c r="D52" s="16"/>
      <c r="E52" s="22" t="str">
        <f ca="1">IFERROR(__xludf.dummyfunction("iferror(1000+INT(($N$2-(index(split(D52,"":""),1)*60+index(split(D52,"":""),2 )))/0.2+1)*$N$3,"""")"),"")</f>
        <v/>
      </c>
      <c r="F52" s="16" t="str">
        <f t="shared" ca="1" si="6"/>
        <v/>
      </c>
      <c r="G52" s="16"/>
      <c r="H52" s="22" t="str">
        <f ca="1">IFERROR(__xludf.dummyfunction("iferror(1000+INT(($N$4-(index(split(G52,"":""),1)*60+index(split(G52,"":""),2 )))/0.2+1)*$N$5,"""")"),"")</f>
        <v/>
      </c>
      <c r="I52" s="16" t="str">
        <f t="shared" ca="1" si="4"/>
        <v/>
      </c>
      <c r="J52" s="16" t="str">
        <f t="shared" si="7"/>
        <v/>
      </c>
      <c r="K52" s="16" t="str">
        <f t="shared" si="5"/>
        <v/>
      </c>
      <c r="L52" s="16"/>
    </row>
    <row r="53" spans="1:12" ht="14.5" x14ac:dyDescent="0.35">
      <c r="A53" s="16"/>
      <c r="B53" s="16"/>
      <c r="C53" s="16"/>
      <c r="D53" s="16"/>
      <c r="E53" s="22" t="str">
        <f ca="1">IFERROR(__xludf.dummyfunction("iferror(1000+INT(($N$2-(index(split(D53,"":""),1)*60+index(split(D53,"":""),2 )))/0.2+1)*$N$3,"""")"),"")</f>
        <v/>
      </c>
      <c r="F53" s="16" t="str">
        <f t="shared" ca="1" si="6"/>
        <v/>
      </c>
      <c r="G53" s="16"/>
      <c r="H53" s="22" t="str">
        <f ca="1">IFERROR(__xludf.dummyfunction("iferror(1000+INT(($N$4-(index(split(G53,"":""),1)*60+index(split(G53,"":""),2 )))/0.2+1)*$N$5,"""")"),"")</f>
        <v/>
      </c>
      <c r="I53" s="16" t="str">
        <f t="shared" ca="1" si="4"/>
        <v/>
      </c>
      <c r="J53" s="16" t="str">
        <f t="shared" si="7"/>
        <v/>
      </c>
      <c r="K53" s="16" t="str">
        <f t="shared" si="5"/>
        <v/>
      </c>
      <c r="L53" s="16"/>
    </row>
    <row r="54" spans="1:12" ht="14.5" x14ac:dyDescent="0.35">
      <c r="A54" s="16"/>
      <c r="B54" s="16"/>
      <c r="C54" s="16"/>
      <c r="D54" s="16"/>
      <c r="E54" s="22" t="str">
        <f ca="1">IFERROR(__xludf.dummyfunction("iferror(1000+INT(($N$2-(index(split(D54,"":""),1)*60+index(split(D54,"":""),2 )))/0.2+1)*$N$3,"""")"),"")</f>
        <v/>
      </c>
      <c r="F54" s="16" t="str">
        <f t="shared" ca="1" si="6"/>
        <v/>
      </c>
      <c r="G54" s="16"/>
      <c r="H54" s="22" t="str">
        <f ca="1">IFERROR(__xludf.dummyfunction("iferror(1000+INT(($N$4-(index(split(G54,"":""),1)*60+index(split(G54,"":""),2 )))/0.2+1)*$N$5,"""")"),"")</f>
        <v/>
      </c>
      <c r="I54" s="16" t="str">
        <f t="shared" ca="1" si="4"/>
        <v/>
      </c>
      <c r="J54" s="16" t="str">
        <f t="shared" si="7"/>
        <v/>
      </c>
      <c r="K54" s="16" t="str">
        <f t="shared" si="5"/>
        <v/>
      </c>
      <c r="L54" s="16"/>
    </row>
    <row r="55" spans="1:12" ht="14.5" x14ac:dyDescent="0.35">
      <c r="A55" s="16"/>
      <c r="B55" s="16"/>
      <c r="C55" s="16"/>
      <c r="D55" s="16"/>
      <c r="E55" s="22" t="str">
        <f ca="1">IFERROR(__xludf.dummyfunction("iferror(1000+INT(($N$2-(index(split(D55,"":""),1)*60+index(split(D55,"":""),2 )))/0.2+1)*$N$3,"""")"),"")</f>
        <v/>
      </c>
      <c r="F55" s="16" t="str">
        <f t="shared" ca="1" si="6"/>
        <v/>
      </c>
      <c r="G55" s="16"/>
      <c r="H55" s="22" t="str">
        <f ca="1">IFERROR(__xludf.dummyfunction("iferror(1000+INT(($N$4-(index(split(G55,"":""),1)*60+index(split(G55,"":""),2 )))/0.2+1)*$N$5,"""")"),"")</f>
        <v/>
      </c>
      <c r="I55" s="16" t="str">
        <f t="shared" ca="1" si="4"/>
        <v/>
      </c>
      <c r="J55" s="16" t="str">
        <f t="shared" si="7"/>
        <v/>
      </c>
      <c r="K55" s="16" t="str">
        <f t="shared" si="5"/>
        <v/>
      </c>
      <c r="L55" s="16"/>
    </row>
    <row r="56" spans="1:12" ht="14.5" x14ac:dyDescent="0.35">
      <c r="A56" s="16"/>
      <c r="B56" s="16"/>
      <c r="C56" s="16"/>
      <c r="D56" s="16"/>
      <c r="E56" s="22" t="str">
        <f ca="1">IFERROR(__xludf.dummyfunction("iferror(1000+INT(($N$2-(index(split(D56,"":""),1)*60+index(split(D56,"":""),2 )))/0.2+1)*$N$3,"""")"),"")</f>
        <v/>
      </c>
      <c r="F56" s="16" t="str">
        <f t="shared" ca="1" si="6"/>
        <v/>
      </c>
      <c r="G56" s="16"/>
      <c r="H56" s="22" t="str">
        <f ca="1">IFERROR(__xludf.dummyfunction("iferror(1000+INT(($N$4-(index(split(G56,"":""),1)*60+index(split(G56,"":""),2 )))/0.2+1)*$N$5,"""")"),"")</f>
        <v/>
      </c>
      <c r="I56" s="16" t="str">
        <f t="shared" ca="1" si="4"/>
        <v/>
      </c>
      <c r="J56" s="16" t="str">
        <f t="shared" si="7"/>
        <v/>
      </c>
      <c r="K56" s="16" t="str">
        <f t="shared" si="5"/>
        <v/>
      </c>
      <c r="L56" s="16"/>
    </row>
    <row r="57" spans="1:12" ht="14.5" x14ac:dyDescent="0.35">
      <c r="A57" s="16"/>
      <c r="B57" s="16"/>
      <c r="C57" s="16"/>
      <c r="D57" s="16"/>
      <c r="E57" s="22" t="str">
        <f ca="1">IFERROR(__xludf.dummyfunction("iferror(1000+INT(($N$2-(index(split(D57,"":""),1)*60+index(split(D57,"":""),2 )))/0.2+1)*$N$3,"""")"),"")</f>
        <v/>
      </c>
      <c r="F57" s="16" t="str">
        <f t="shared" ca="1" si="6"/>
        <v/>
      </c>
      <c r="G57" s="16"/>
      <c r="H57" s="22" t="str">
        <f ca="1">IFERROR(__xludf.dummyfunction("iferror(1000+INT(($N$4-(index(split(G57,"":""),1)*60+index(split(G57,"":""),2 )))/0.2+1)*$N$5,"""")"),"")</f>
        <v/>
      </c>
      <c r="I57" s="16" t="str">
        <f t="shared" ca="1" si="4"/>
        <v/>
      </c>
      <c r="J57" s="16" t="str">
        <f t="shared" si="7"/>
        <v/>
      </c>
      <c r="K57" s="16" t="str">
        <f t="shared" si="5"/>
        <v/>
      </c>
      <c r="L57" s="16"/>
    </row>
    <row r="58" spans="1:12" ht="14.5" x14ac:dyDescent="0.35">
      <c r="A58" s="16"/>
      <c r="B58" s="16"/>
      <c r="C58" s="16"/>
      <c r="D58" s="16"/>
      <c r="E58" s="22" t="str">
        <f ca="1">IFERROR(__xludf.dummyfunction("iferror(1000+INT(($N$2-(index(split(D58,"":""),1)*60+index(split(D58,"":""),2 )))/0.2+1)*$N$3,"""")"),"")</f>
        <v/>
      </c>
      <c r="F58" s="16" t="str">
        <f t="shared" ca="1" si="6"/>
        <v/>
      </c>
      <c r="G58" s="16"/>
      <c r="H58" s="22" t="str">
        <f ca="1">IFERROR(__xludf.dummyfunction("iferror(1000+INT(($N$4-(index(split(G58,"":""),1)*60+index(split(G58,"":""),2 )))/0.2+1)*$N$5,"""")"),"")</f>
        <v/>
      </c>
      <c r="I58" s="16" t="str">
        <f t="shared" ca="1" si="4"/>
        <v/>
      </c>
      <c r="J58" s="16" t="str">
        <f t="shared" si="7"/>
        <v/>
      </c>
      <c r="K58" s="16" t="str">
        <f t="shared" si="5"/>
        <v/>
      </c>
      <c r="L58" s="16"/>
    </row>
    <row r="59" spans="1:12" ht="14.5" x14ac:dyDescent="0.35">
      <c r="A59" s="16"/>
      <c r="B59" s="16"/>
      <c r="C59" s="16"/>
      <c r="D59" s="16"/>
      <c r="E59" s="22" t="str">
        <f ca="1">IFERROR(__xludf.dummyfunction("iferror(1000+INT(($N$2-(index(split(D59,"":""),1)*60+index(split(D59,"":""),2 )))/0.2+1)*$N$3,"""")"),"")</f>
        <v/>
      </c>
      <c r="F59" s="16" t="str">
        <f t="shared" ca="1" si="6"/>
        <v/>
      </c>
      <c r="G59" s="16"/>
      <c r="H59" s="22" t="str">
        <f ca="1">IFERROR(__xludf.dummyfunction("iferror(1000+INT(($N$4-(index(split(G59,"":""),1)*60+index(split(G59,"":""),2 )))/0.2+1)*$N$5,"""")"),"")</f>
        <v/>
      </c>
      <c r="I59" s="16" t="str">
        <f t="shared" ca="1" si="4"/>
        <v/>
      </c>
      <c r="J59" s="16" t="str">
        <f t="shared" si="7"/>
        <v/>
      </c>
      <c r="K59" s="16" t="str">
        <f t="shared" si="5"/>
        <v/>
      </c>
      <c r="L59" s="16"/>
    </row>
    <row r="60" spans="1:12" ht="14.5" x14ac:dyDescent="0.35">
      <c r="A60" s="16"/>
      <c r="B60" s="16"/>
      <c r="C60" s="16"/>
      <c r="D60" s="16"/>
      <c r="E60" s="22" t="str">
        <f ca="1">IFERROR(__xludf.dummyfunction("iferror(1000+INT(($N$2-(index(split(D60,"":""),1)*60+index(split(D60,"":""),2 )))/0.2+1)*$N$3,"""")"),"")</f>
        <v/>
      </c>
      <c r="F60" s="16" t="str">
        <f t="shared" ca="1" si="6"/>
        <v/>
      </c>
      <c r="G60" s="16"/>
      <c r="H60" s="22" t="str">
        <f ca="1">IFERROR(__xludf.dummyfunction("iferror(1000+INT(($N$4-(index(split(G60,"":""),1)*60+index(split(G60,"":""),2 )))/0.2+1)*$N$5,"""")"),"")</f>
        <v/>
      </c>
      <c r="I60" s="16" t="str">
        <f t="shared" ca="1" si="4"/>
        <v/>
      </c>
      <c r="J60" s="16" t="str">
        <f t="shared" si="7"/>
        <v/>
      </c>
      <c r="K60" s="16" t="str">
        <f t="shared" si="5"/>
        <v/>
      </c>
      <c r="L60" s="16"/>
    </row>
    <row r="61" spans="1:12" ht="14.5" x14ac:dyDescent="0.35">
      <c r="A61" s="16"/>
      <c r="B61" s="16"/>
      <c r="C61" s="16"/>
      <c r="D61" s="16"/>
      <c r="E61" s="22" t="str">
        <f ca="1">IFERROR(__xludf.dummyfunction("iferror(1000+INT(($N$2-(index(split(D61,"":""),1)*60+index(split(D61,"":""),2 )))/0.2+1)*$N$3,"""")"),"")</f>
        <v/>
      </c>
      <c r="F61" s="16" t="str">
        <f t="shared" ca="1" si="6"/>
        <v/>
      </c>
      <c r="G61" s="16"/>
      <c r="H61" s="22" t="str">
        <f ca="1">IFERROR(__xludf.dummyfunction("iferror(1000+INT(($N$4-(index(split(G61,"":""),1)*60+index(split(G61,"":""),2 )))/0.2+1)*$N$5,"""")"),"")</f>
        <v/>
      </c>
      <c r="I61" s="16" t="str">
        <f t="shared" ca="1" si="4"/>
        <v/>
      </c>
      <c r="J61" s="16" t="str">
        <f t="shared" si="7"/>
        <v/>
      </c>
      <c r="K61" s="16" t="str">
        <f t="shared" si="5"/>
        <v/>
      </c>
      <c r="L61" s="16"/>
    </row>
    <row r="62" spans="1:12" ht="14.5" x14ac:dyDescent="0.35">
      <c r="A62" s="16"/>
      <c r="B62" s="16"/>
      <c r="C62" s="16"/>
      <c r="D62" s="16"/>
      <c r="E62" s="22" t="str">
        <f ca="1">IFERROR(__xludf.dummyfunction("iferror(1000+INT(($N$2-(index(split(D62,"":""),1)*60+index(split(D62,"":""),2 )))/0.2+1)*$N$3,"""")"),"")</f>
        <v/>
      </c>
      <c r="F62" s="16" t="str">
        <f t="shared" ca="1" si="6"/>
        <v/>
      </c>
      <c r="G62" s="16"/>
      <c r="H62" s="22" t="str">
        <f ca="1">IFERROR(__xludf.dummyfunction("iferror(1000+INT(($N$4-(index(split(G62,"":""),1)*60+index(split(G62,"":""),2 )))/0.2+1)*$N$5,"""")"),"")</f>
        <v/>
      </c>
      <c r="I62" s="16" t="str">
        <f t="shared" ca="1" si="4"/>
        <v/>
      </c>
      <c r="J62" s="16" t="str">
        <f t="shared" si="7"/>
        <v/>
      </c>
      <c r="K62" s="16" t="str">
        <f t="shared" si="5"/>
        <v/>
      </c>
      <c r="L62" s="16"/>
    </row>
    <row r="63" spans="1:12" ht="14.5" x14ac:dyDescent="0.35">
      <c r="A63" s="16"/>
      <c r="B63" s="16"/>
      <c r="C63" s="16"/>
      <c r="D63" s="16"/>
      <c r="E63" s="22" t="str">
        <f ca="1">IFERROR(__xludf.dummyfunction("iferror(1000+INT(($N$2-(index(split(D63,"":""),1)*60+index(split(D63,"":""),2 )))/0.2+1)*$N$3,"""")"),"")</f>
        <v/>
      </c>
      <c r="F63" s="16" t="str">
        <f t="shared" ca="1" si="6"/>
        <v/>
      </c>
      <c r="G63" s="16"/>
      <c r="H63" s="22" t="str">
        <f ca="1">IFERROR(__xludf.dummyfunction("iferror(1000+INT(($N$4-(index(split(G63,"":""),1)*60+index(split(G63,"":""),2 )))/0.2+1)*$N$5,"""")"),"")</f>
        <v/>
      </c>
      <c r="I63" s="16" t="str">
        <f t="shared" ca="1" si="4"/>
        <v/>
      </c>
      <c r="J63" s="16" t="str">
        <f t="shared" si="7"/>
        <v/>
      </c>
      <c r="K63" s="16" t="str">
        <f t="shared" si="5"/>
        <v/>
      </c>
      <c r="L63" s="16"/>
    </row>
    <row r="64" spans="1:12" ht="14.5" x14ac:dyDescent="0.35">
      <c r="A64" s="16"/>
      <c r="B64" s="16"/>
      <c r="C64" s="16"/>
      <c r="D64" s="16"/>
      <c r="E64" s="22" t="str">
        <f ca="1">IFERROR(__xludf.dummyfunction("iferror(1000+INT(($N$2-(index(split(D64,"":""),1)*60+index(split(D64,"":""),2 )))/0.2+1)*$N$3,"""")"),"")</f>
        <v/>
      </c>
      <c r="F64" s="16" t="str">
        <f t="shared" ca="1" si="6"/>
        <v/>
      </c>
      <c r="G64" s="16"/>
      <c r="H64" s="22" t="str">
        <f ca="1">IFERROR(__xludf.dummyfunction("iferror(1000+INT(($N$4-(index(split(G64,"":""),1)*60+index(split(G64,"":""),2 )))/0.2+1)*$N$5,"""")"),"")</f>
        <v/>
      </c>
      <c r="I64" s="16" t="str">
        <f t="shared" ca="1" si="4"/>
        <v/>
      </c>
      <c r="J64" s="16" t="str">
        <f t="shared" si="7"/>
        <v/>
      </c>
      <c r="K64" s="16" t="str">
        <f t="shared" si="5"/>
        <v/>
      </c>
      <c r="L64" s="16"/>
    </row>
    <row r="65" spans="1:12" ht="14.5" x14ac:dyDescent="0.35">
      <c r="A65" s="16"/>
      <c r="B65" s="16"/>
      <c r="C65" s="16"/>
      <c r="D65" s="16"/>
      <c r="E65" s="22" t="str">
        <f ca="1">IFERROR(__xludf.dummyfunction("iferror(1000+INT(($N$2-(index(split(D65,"":""),1)*60+index(split(D65,"":""),2 )))/0.2+1)*$N$3,"""")"),"")</f>
        <v/>
      </c>
      <c r="F65" s="16" t="str">
        <f t="shared" ca="1" si="6"/>
        <v/>
      </c>
      <c r="G65" s="16"/>
      <c r="H65" s="22" t="str">
        <f ca="1">IFERROR(__xludf.dummyfunction("iferror(1000+INT(($N$4-(index(split(G65,"":""),1)*60+index(split(G65,"":""),2 )))/0.2+1)*$N$5,"""")"),"")</f>
        <v/>
      </c>
      <c r="I65" s="16" t="str">
        <f t="shared" ca="1" si="4"/>
        <v/>
      </c>
      <c r="J65" s="16" t="str">
        <f t="shared" si="7"/>
        <v/>
      </c>
      <c r="K65" s="16" t="str">
        <f t="shared" si="5"/>
        <v/>
      </c>
      <c r="L65" s="16"/>
    </row>
    <row r="66" spans="1:12" ht="14.5" x14ac:dyDescent="0.35">
      <c r="A66" s="16"/>
      <c r="B66" s="16"/>
      <c r="C66" s="16"/>
      <c r="D66" s="16"/>
      <c r="E66" s="22" t="str">
        <f ca="1">IFERROR(__xludf.dummyfunction("iferror(1000+INT(($N$2-(index(split(D66,"":""),1)*60+index(split(D66,"":""),2 )))/0.2+1)*$N$3,"""")"),"")</f>
        <v/>
      </c>
      <c r="F66" s="16" t="str">
        <f t="shared" ca="1" si="6"/>
        <v/>
      </c>
      <c r="G66" s="16"/>
      <c r="H66" s="22" t="str">
        <f ca="1">IFERROR(__xludf.dummyfunction("iferror(1000+INT(($N$4-(index(split(G66,"":""),1)*60+index(split(G66,"":""),2 )))/0.2+1)*$N$5,"""")"),"")</f>
        <v/>
      </c>
      <c r="I66" s="16" t="str">
        <f t="shared" ref="I66:I97" ca="1" si="8">IFERROR(_xlfn.RANK.EQ(H66,H:H),"")</f>
        <v/>
      </c>
      <c r="J66" s="16" t="str">
        <f t="shared" ref="J66:J100" si="9">IF(AND(D66="", G66=""), "", E66+H66)</f>
        <v/>
      </c>
      <c r="K66" s="16" t="str">
        <f t="shared" ref="K66:K97" si="10">IFERROR(_xlfn.RANK.EQ(J66,J:J),"")</f>
        <v/>
      </c>
      <c r="L66" s="16"/>
    </row>
    <row r="67" spans="1:12" ht="14.5" x14ac:dyDescent="0.35">
      <c r="A67" s="16"/>
      <c r="B67" s="16"/>
      <c r="C67" s="16"/>
      <c r="D67" s="16"/>
      <c r="E67" s="22" t="str">
        <f ca="1">IFERROR(__xludf.dummyfunction("iferror(1000+INT(($N$2-(index(split(D67,"":""),1)*60+index(split(D67,"":""),2 )))/0.2+1)*$N$3,"""")"),"")</f>
        <v/>
      </c>
      <c r="F67" s="16" t="str">
        <f t="shared" ca="1" si="6"/>
        <v/>
      </c>
      <c r="G67" s="16"/>
      <c r="H67" s="22" t="str">
        <f ca="1">IFERROR(__xludf.dummyfunction("iferror(1000+INT(($N$4-(index(split(G67,"":""),1)*60+index(split(G67,"":""),2 )))/0.2+1)*$N$5,"""")"),"")</f>
        <v/>
      </c>
      <c r="I67" s="16" t="str">
        <f t="shared" ca="1" si="8"/>
        <v/>
      </c>
      <c r="J67" s="16" t="str">
        <f t="shared" si="9"/>
        <v/>
      </c>
      <c r="K67" s="16" t="str">
        <f t="shared" si="10"/>
        <v/>
      </c>
      <c r="L67" s="16"/>
    </row>
    <row r="68" spans="1:12" ht="14.5" x14ac:dyDescent="0.35">
      <c r="A68" s="16"/>
      <c r="B68" s="16"/>
      <c r="C68" s="16"/>
      <c r="D68" s="16"/>
      <c r="E68" s="22" t="str">
        <f ca="1">IFERROR(__xludf.dummyfunction("iferror(1000+INT(($N$2-(index(split(D68,"":""),1)*60+index(split(D68,"":""),2 )))/0.2+1)*$N$3,"""")"),"")</f>
        <v/>
      </c>
      <c r="F68" s="16" t="str">
        <f t="shared" ref="F68:F99" ca="1" si="11">IFERROR(_xlfn.RANK.EQ(E68,E:E),"")</f>
        <v/>
      </c>
      <c r="G68" s="16"/>
      <c r="H68" s="22" t="str">
        <f ca="1">IFERROR(__xludf.dummyfunction("iferror(1000+INT(($N$4-(index(split(G68,"":""),1)*60+index(split(G68,"":""),2 )))/0.2+1)*$N$5,"""")"),"")</f>
        <v/>
      </c>
      <c r="I68" s="16" t="str">
        <f t="shared" ca="1" si="8"/>
        <v/>
      </c>
      <c r="J68" s="16" t="str">
        <f t="shared" si="9"/>
        <v/>
      </c>
      <c r="K68" s="16" t="str">
        <f t="shared" si="10"/>
        <v/>
      </c>
      <c r="L68" s="16"/>
    </row>
    <row r="69" spans="1:12" ht="14.5" x14ac:dyDescent="0.35">
      <c r="A69" s="16"/>
      <c r="B69" s="16"/>
      <c r="C69" s="16"/>
      <c r="D69" s="16"/>
      <c r="E69" s="22" t="str">
        <f ca="1">IFERROR(__xludf.dummyfunction("iferror(1000+INT(($N$2-(index(split(D69,"":""),1)*60+index(split(D69,"":""),2 )))/0.2+1)*$N$3,"""")"),"")</f>
        <v/>
      </c>
      <c r="F69" s="16" t="str">
        <f t="shared" ca="1" si="11"/>
        <v/>
      </c>
      <c r="G69" s="16"/>
      <c r="H69" s="22" t="str">
        <f ca="1">IFERROR(__xludf.dummyfunction("iferror(1000+INT(($N$4-(index(split(G69,"":""),1)*60+index(split(G69,"":""),2 )))/0.2+1)*$N$5,"""")"),"")</f>
        <v/>
      </c>
      <c r="I69" s="16" t="str">
        <f t="shared" ca="1" si="8"/>
        <v/>
      </c>
      <c r="J69" s="16" t="str">
        <f t="shared" si="9"/>
        <v/>
      </c>
      <c r="K69" s="16" t="str">
        <f t="shared" si="10"/>
        <v/>
      </c>
      <c r="L69" s="16"/>
    </row>
    <row r="70" spans="1:12" ht="14.5" x14ac:dyDescent="0.35">
      <c r="A70" s="16"/>
      <c r="B70" s="16"/>
      <c r="C70" s="16"/>
      <c r="D70" s="16"/>
      <c r="E70" s="22" t="str">
        <f ca="1">IFERROR(__xludf.dummyfunction("iferror(1000+INT(($N$2-(index(split(D70,"":""),1)*60+index(split(D70,"":""),2 )))/0.2+1)*$N$3,"""")"),"")</f>
        <v/>
      </c>
      <c r="F70" s="16" t="str">
        <f t="shared" ca="1" si="11"/>
        <v/>
      </c>
      <c r="G70" s="16"/>
      <c r="H70" s="22" t="str">
        <f ca="1">IFERROR(__xludf.dummyfunction("iferror(1000+INT(($N$4-(index(split(G70,"":""),1)*60+index(split(G70,"":""),2 )))/0.2+1)*$N$5,"""")"),"")</f>
        <v/>
      </c>
      <c r="I70" s="16" t="str">
        <f t="shared" ca="1" si="8"/>
        <v/>
      </c>
      <c r="J70" s="16" t="str">
        <f t="shared" si="9"/>
        <v/>
      </c>
      <c r="K70" s="16" t="str">
        <f t="shared" si="10"/>
        <v/>
      </c>
      <c r="L70" s="16"/>
    </row>
    <row r="71" spans="1:12" ht="14.5" x14ac:dyDescent="0.35">
      <c r="A71" s="16"/>
      <c r="B71" s="16"/>
      <c r="C71" s="16"/>
      <c r="D71" s="16"/>
      <c r="E71" s="22" t="str">
        <f ca="1">IFERROR(__xludf.dummyfunction("iferror(1000+INT(($N$2-(index(split(D71,"":""),1)*60+index(split(D71,"":""),2 )))/0.2+1)*$N$3,"""")"),"")</f>
        <v/>
      </c>
      <c r="F71" s="16" t="str">
        <f t="shared" ca="1" si="11"/>
        <v/>
      </c>
      <c r="G71" s="16"/>
      <c r="H71" s="22" t="str">
        <f ca="1">IFERROR(__xludf.dummyfunction("iferror(1000+INT(($N$4-(index(split(G71,"":""),1)*60+index(split(G71,"":""),2 )))/0.2+1)*$N$5,"""")"),"")</f>
        <v/>
      </c>
      <c r="I71" s="16" t="str">
        <f t="shared" ca="1" si="8"/>
        <v/>
      </c>
      <c r="J71" s="16" t="str">
        <f t="shared" si="9"/>
        <v/>
      </c>
      <c r="K71" s="16" t="str">
        <f t="shared" si="10"/>
        <v/>
      </c>
      <c r="L71" s="16"/>
    </row>
    <row r="72" spans="1:12" ht="14.5" x14ac:dyDescent="0.35">
      <c r="A72" s="16"/>
      <c r="B72" s="16"/>
      <c r="C72" s="16"/>
      <c r="D72" s="16"/>
      <c r="E72" s="22" t="str">
        <f ca="1">IFERROR(__xludf.dummyfunction("iferror(1000+INT(($N$2-(index(split(D72,"":""),1)*60+index(split(D72,"":""),2 )))/0.2+1)*$N$3,"""")"),"")</f>
        <v/>
      </c>
      <c r="F72" s="16" t="str">
        <f t="shared" ca="1" si="11"/>
        <v/>
      </c>
      <c r="G72" s="16"/>
      <c r="H72" s="22" t="str">
        <f ca="1">IFERROR(__xludf.dummyfunction("iferror(1000+INT(($N$4-(index(split(G72,"":""),1)*60+index(split(G72,"":""),2 )))/0.2+1)*$N$5,"""")"),"")</f>
        <v/>
      </c>
      <c r="I72" s="16" t="str">
        <f t="shared" ca="1" si="8"/>
        <v/>
      </c>
      <c r="J72" s="16" t="str">
        <f t="shared" si="9"/>
        <v/>
      </c>
      <c r="K72" s="16" t="str">
        <f t="shared" si="10"/>
        <v/>
      </c>
      <c r="L72" s="16"/>
    </row>
    <row r="73" spans="1:12" ht="14.5" x14ac:dyDescent="0.35">
      <c r="A73" s="16"/>
      <c r="B73" s="16"/>
      <c r="C73" s="16"/>
      <c r="D73" s="16"/>
      <c r="E73" s="22" t="str">
        <f ca="1">IFERROR(__xludf.dummyfunction("iferror(1000+INT(($N$2-(index(split(D73,"":""),1)*60+index(split(D73,"":""),2 )))/0.2+1)*$N$3,"""")"),"")</f>
        <v/>
      </c>
      <c r="F73" s="16" t="str">
        <f t="shared" ca="1" si="11"/>
        <v/>
      </c>
      <c r="G73" s="16"/>
      <c r="H73" s="22" t="str">
        <f ca="1">IFERROR(__xludf.dummyfunction("iferror(1000+INT(($N$4-(index(split(G73,"":""),1)*60+index(split(G73,"":""),2 )))/0.2+1)*$N$5,"""")"),"")</f>
        <v/>
      </c>
      <c r="I73" s="16" t="str">
        <f t="shared" ca="1" si="8"/>
        <v/>
      </c>
      <c r="J73" s="16" t="str">
        <f t="shared" si="9"/>
        <v/>
      </c>
      <c r="K73" s="16" t="str">
        <f t="shared" si="10"/>
        <v/>
      </c>
      <c r="L73" s="16"/>
    </row>
    <row r="74" spans="1:12" ht="14.5" x14ac:dyDescent="0.35">
      <c r="A74" s="16"/>
      <c r="B74" s="16"/>
      <c r="C74" s="16"/>
      <c r="D74" s="16"/>
      <c r="E74" s="22" t="str">
        <f ca="1">IFERROR(__xludf.dummyfunction("iferror(1000+INT(($N$2-(index(split(D74,"":""),1)*60+index(split(D74,"":""),2 )))/0.2+1)*$N$3,"""")"),"")</f>
        <v/>
      </c>
      <c r="F74" s="16" t="str">
        <f t="shared" ca="1" si="11"/>
        <v/>
      </c>
      <c r="G74" s="16"/>
      <c r="H74" s="22" t="str">
        <f ca="1">IFERROR(__xludf.dummyfunction("iferror(1000+INT(($N$4-(index(split(G74,"":""),1)*60+index(split(G74,"":""),2 )))/0.2+1)*$N$5,"""")"),"")</f>
        <v/>
      </c>
      <c r="I74" s="16" t="str">
        <f t="shared" ca="1" si="8"/>
        <v/>
      </c>
      <c r="J74" s="16" t="str">
        <f t="shared" si="9"/>
        <v/>
      </c>
      <c r="K74" s="16" t="str">
        <f t="shared" si="10"/>
        <v/>
      </c>
      <c r="L74" s="16"/>
    </row>
    <row r="75" spans="1:12" ht="14.5" x14ac:dyDescent="0.35">
      <c r="A75" s="16"/>
      <c r="B75" s="16"/>
      <c r="C75" s="16"/>
      <c r="D75" s="16"/>
      <c r="E75" s="22" t="str">
        <f ca="1">IFERROR(__xludf.dummyfunction("iferror(1000+INT(($N$2-(index(split(D75,"":""),1)*60+index(split(D75,"":""),2 )))/0.2+1)*$N$3,"""")"),"")</f>
        <v/>
      </c>
      <c r="F75" s="16" t="str">
        <f t="shared" ca="1" si="11"/>
        <v/>
      </c>
      <c r="G75" s="16"/>
      <c r="H75" s="22" t="str">
        <f ca="1">IFERROR(__xludf.dummyfunction("iferror(1000+INT(($N$4-(index(split(G75,"":""),1)*60+index(split(G75,"":""),2 )))/0.2+1)*$N$5,"""")"),"")</f>
        <v/>
      </c>
      <c r="I75" s="16" t="str">
        <f t="shared" ca="1" si="8"/>
        <v/>
      </c>
      <c r="J75" s="16" t="str">
        <f t="shared" si="9"/>
        <v/>
      </c>
      <c r="K75" s="16" t="str">
        <f t="shared" si="10"/>
        <v/>
      </c>
      <c r="L75" s="16"/>
    </row>
    <row r="76" spans="1:12" ht="14.5" x14ac:dyDescent="0.35">
      <c r="A76" s="16"/>
      <c r="B76" s="16"/>
      <c r="C76" s="16"/>
      <c r="D76" s="16"/>
      <c r="E76" s="22" t="str">
        <f ca="1">IFERROR(__xludf.dummyfunction("iferror(1000+INT(($N$2-(index(split(D76,"":""),1)*60+index(split(D76,"":""),2 )))/0.2+1)*$N$3,"""")"),"")</f>
        <v/>
      </c>
      <c r="F76" s="16" t="str">
        <f t="shared" ca="1" si="11"/>
        <v/>
      </c>
      <c r="G76" s="16"/>
      <c r="H76" s="22" t="str">
        <f ca="1">IFERROR(__xludf.dummyfunction("iferror(1000+INT(($N$4-(index(split(G76,"":""),1)*60+index(split(G76,"":""),2 )))/0.2+1)*$N$5,"""")"),"")</f>
        <v/>
      </c>
      <c r="I76" s="16" t="str">
        <f t="shared" ca="1" si="8"/>
        <v/>
      </c>
      <c r="J76" s="16" t="str">
        <f t="shared" si="9"/>
        <v/>
      </c>
      <c r="K76" s="16" t="str">
        <f t="shared" si="10"/>
        <v/>
      </c>
      <c r="L76" s="16"/>
    </row>
    <row r="77" spans="1:12" ht="14.5" x14ac:dyDescent="0.35">
      <c r="A77" s="16"/>
      <c r="B77" s="16"/>
      <c r="C77" s="16"/>
      <c r="D77" s="16"/>
      <c r="E77" s="22" t="str">
        <f ca="1">IFERROR(__xludf.dummyfunction("iferror(1000+INT(($N$2-(index(split(D77,"":""),1)*60+index(split(D77,"":""),2 )))/0.2+1)*$N$3,"""")"),"")</f>
        <v/>
      </c>
      <c r="F77" s="16" t="str">
        <f t="shared" ca="1" si="11"/>
        <v/>
      </c>
      <c r="G77" s="16"/>
      <c r="H77" s="22" t="str">
        <f ca="1">IFERROR(__xludf.dummyfunction("iferror(1000+INT(($N$4-(index(split(G77,"":""),1)*60+index(split(G77,"":""),2 )))/0.2+1)*$N$5,"""")"),"")</f>
        <v/>
      </c>
      <c r="I77" s="16" t="str">
        <f t="shared" ca="1" si="8"/>
        <v/>
      </c>
      <c r="J77" s="16" t="str">
        <f t="shared" si="9"/>
        <v/>
      </c>
      <c r="K77" s="16" t="str">
        <f t="shared" si="10"/>
        <v/>
      </c>
      <c r="L77" s="16"/>
    </row>
    <row r="78" spans="1:12" ht="14.5" x14ac:dyDescent="0.35">
      <c r="A78" s="16"/>
      <c r="B78" s="16"/>
      <c r="C78" s="16"/>
      <c r="D78" s="16"/>
      <c r="E78" s="22" t="str">
        <f ca="1">IFERROR(__xludf.dummyfunction("iferror(1000+INT(($N$2-(index(split(D78,"":""),1)*60+index(split(D78,"":""),2 )))/0.2+1)*$N$3,"""")"),"")</f>
        <v/>
      </c>
      <c r="F78" s="16" t="str">
        <f t="shared" ca="1" si="11"/>
        <v/>
      </c>
      <c r="G78" s="16"/>
      <c r="H78" s="22" t="str">
        <f ca="1">IFERROR(__xludf.dummyfunction("iferror(1000+INT(($N$4-(index(split(G78,"":""),1)*60+index(split(G78,"":""),2 )))/0.2+1)*$N$5,"""")"),"")</f>
        <v/>
      </c>
      <c r="I78" s="16" t="str">
        <f t="shared" ca="1" si="8"/>
        <v/>
      </c>
      <c r="J78" s="16" t="str">
        <f t="shared" si="9"/>
        <v/>
      </c>
      <c r="K78" s="16" t="str">
        <f t="shared" si="10"/>
        <v/>
      </c>
      <c r="L78" s="16"/>
    </row>
    <row r="79" spans="1:12" ht="14.5" x14ac:dyDescent="0.35">
      <c r="A79" s="16"/>
      <c r="B79" s="16"/>
      <c r="C79" s="16"/>
      <c r="D79" s="16"/>
      <c r="E79" s="22" t="str">
        <f ca="1">IFERROR(__xludf.dummyfunction("iferror(1000+INT(($N$2-(index(split(D79,"":""),1)*60+index(split(D79,"":""),2 )))/0.2+1)*$N$3,"""")"),"")</f>
        <v/>
      </c>
      <c r="F79" s="16" t="str">
        <f t="shared" ca="1" si="11"/>
        <v/>
      </c>
      <c r="G79" s="16"/>
      <c r="H79" s="22" t="str">
        <f ca="1">IFERROR(__xludf.dummyfunction("iferror(1000+INT(($N$4-(index(split(G79,"":""),1)*60+index(split(G79,"":""),2 )))/0.2+1)*$N$5,"""")"),"")</f>
        <v/>
      </c>
      <c r="I79" s="16" t="str">
        <f t="shared" ca="1" si="8"/>
        <v/>
      </c>
      <c r="J79" s="16" t="str">
        <f t="shared" si="9"/>
        <v/>
      </c>
      <c r="K79" s="16" t="str">
        <f t="shared" si="10"/>
        <v/>
      </c>
      <c r="L79" s="16"/>
    </row>
    <row r="80" spans="1:12" ht="14.5" x14ac:dyDescent="0.35">
      <c r="A80" s="16"/>
      <c r="B80" s="16"/>
      <c r="C80" s="16"/>
      <c r="D80" s="16"/>
      <c r="E80" s="22" t="str">
        <f ca="1">IFERROR(__xludf.dummyfunction("iferror(1000+INT(($N$2-(index(split(D80,"":""),1)*60+index(split(D80,"":""),2 )))/0.2+1)*$N$3,"""")"),"")</f>
        <v/>
      </c>
      <c r="F80" s="16" t="str">
        <f t="shared" ca="1" si="11"/>
        <v/>
      </c>
      <c r="G80" s="16"/>
      <c r="H80" s="22" t="str">
        <f ca="1">IFERROR(__xludf.dummyfunction("iferror(1000+INT(($N$4-(index(split(G80,"":""),1)*60+index(split(G80,"":""),2 )))/0.2+1)*$N$5,"""")"),"")</f>
        <v/>
      </c>
      <c r="I80" s="16" t="str">
        <f t="shared" ca="1" si="8"/>
        <v/>
      </c>
      <c r="J80" s="16" t="str">
        <f t="shared" si="9"/>
        <v/>
      </c>
      <c r="K80" s="16" t="str">
        <f t="shared" si="10"/>
        <v/>
      </c>
      <c r="L80" s="16"/>
    </row>
    <row r="81" spans="1:12" ht="14.5" x14ac:dyDescent="0.35">
      <c r="A81" s="16"/>
      <c r="B81" s="16"/>
      <c r="C81" s="16"/>
      <c r="D81" s="16"/>
      <c r="E81" s="22" t="str">
        <f ca="1">IFERROR(__xludf.dummyfunction("iferror(1000+INT(($N$2-(index(split(D81,"":""),1)*60+index(split(D81,"":""),2 )))/0.2+1)*$N$3,"""")"),"")</f>
        <v/>
      </c>
      <c r="F81" s="16" t="str">
        <f t="shared" ca="1" si="11"/>
        <v/>
      </c>
      <c r="G81" s="16"/>
      <c r="H81" s="22" t="str">
        <f ca="1">IFERROR(__xludf.dummyfunction("iferror(1000+INT(($N$4-(index(split(G81,"":""),1)*60+index(split(G81,"":""),2 )))/0.2+1)*$N$5,"""")"),"")</f>
        <v/>
      </c>
      <c r="I81" s="16" t="str">
        <f t="shared" ca="1" si="8"/>
        <v/>
      </c>
      <c r="J81" s="16" t="str">
        <f t="shared" si="9"/>
        <v/>
      </c>
      <c r="K81" s="16" t="str">
        <f t="shared" si="10"/>
        <v/>
      </c>
      <c r="L81" s="16"/>
    </row>
    <row r="82" spans="1:12" ht="14.5" x14ac:dyDescent="0.35">
      <c r="A82" s="16"/>
      <c r="B82" s="16"/>
      <c r="C82" s="16"/>
      <c r="D82" s="16"/>
      <c r="E82" s="22" t="str">
        <f ca="1">IFERROR(__xludf.dummyfunction("iferror(1000+INT(($N$2-(index(split(D82,"":""),1)*60+index(split(D82,"":""),2 )))/0.2+1)*$N$3,"""")"),"")</f>
        <v/>
      </c>
      <c r="F82" s="16" t="str">
        <f t="shared" ca="1" si="11"/>
        <v/>
      </c>
      <c r="G82" s="16"/>
      <c r="H82" s="22" t="str">
        <f ca="1">IFERROR(__xludf.dummyfunction("iferror(1000+INT(($N$4-(index(split(G82,"":""),1)*60+index(split(G82,"":""),2 )))/0.2+1)*$N$5,"""")"),"")</f>
        <v/>
      </c>
      <c r="I82" s="16" t="str">
        <f t="shared" ca="1" si="8"/>
        <v/>
      </c>
      <c r="J82" s="16" t="str">
        <f t="shared" si="9"/>
        <v/>
      </c>
      <c r="K82" s="16" t="str">
        <f t="shared" si="10"/>
        <v/>
      </c>
      <c r="L82" s="16"/>
    </row>
    <row r="83" spans="1:12" ht="14.5" x14ac:dyDescent="0.35">
      <c r="A83" s="16"/>
      <c r="B83" s="16"/>
      <c r="C83" s="16"/>
      <c r="D83" s="16"/>
      <c r="E83" s="22" t="str">
        <f ca="1">IFERROR(__xludf.dummyfunction("iferror(1000+INT(($N$2-(index(split(D83,"":""),1)*60+index(split(D83,"":""),2 )))/0.2+1)*$N$3,"""")"),"")</f>
        <v/>
      </c>
      <c r="F83" s="16" t="str">
        <f t="shared" ca="1" si="11"/>
        <v/>
      </c>
      <c r="G83" s="16"/>
      <c r="H83" s="22" t="str">
        <f ca="1">IFERROR(__xludf.dummyfunction("iferror(1000+INT(($N$4-(index(split(G83,"":""),1)*60+index(split(G83,"":""),2 )))/0.2+1)*$N$5,"""")"),"")</f>
        <v/>
      </c>
      <c r="I83" s="16" t="str">
        <f t="shared" ca="1" si="8"/>
        <v/>
      </c>
      <c r="J83" s="16" t="str">
        <f t="shared" si="9"/>
        <v/>
      </c>
      <c r="K83" s="16" t="str">
        <f t="shared" si="10"/>
        <v/>
      </c>
      <c r="L83" s="16"/>
    </row>
    <row r="84" spans="1:12" ht="14.5" x14ac:dyDescent="0.35">
      <c r="A84" s="16"/>
      <c r="B84" s="16"/>
      <c r="C84" s="16"/>
      <c r="D84" s="16"/>
      <c r="E84" s="22" t="str">
        <f ca="1">IFERROR(__xludf.dummyfunction("iferror(1000+INT(($N$2-(index(split(D84,"":""),1)*60+index(split(D84,"":""),2 )))/0.2+1)*$N$3,"""")"),"")</f>
        <v/>
      </c>
      <c r="F84" s="16" t="str">
        <f t="shared" ca="1" si="11"/>
        <v/>
      </c>
      <c r="G84" s="16"/>
      <c r="H84" s="22" t="str">
        <f ca="1">IFERROR(__xludf.dummyfunction("iferror(1000+INT(($N$4-(index(split(G84,"":""),1)*60+index(split(G84,"":""),2 )))/0.2+1)*$N$5,"""")"),"")</f>
        <v/>
      </c>
      <c r="I84" s="16" t="str">
        <f t="shared" ca="1" si="8"/>
        <v/>
      </c>
      <c r="J84" s="16" t="str">
        <f t="shared" si="9"/>
        <v/>
      </c>
      <c r="K84" s="16" t="str">
        <f t="shared" si="10"/>
        <v/>
      </c>
      <c r="L84" s="16"/>
    </row>
    <row r="85" spans="1:12" ht="14.5" x14ac:dyDescent="0.35">
      <c r="A85" s="16"/>
      <c r="B85" s="16"/>
      <c r="C85" s="16"/>
      <c r="D85" s="16"/>
      <c r="E85" s="22" t="str">
        <f ca="1">IFERROR(__xludf.dummyfunction("iferror(1000+INT(($N$2-(index(split(D85,"":""),1)*60+index(split(D85,"":""),2 )))/0.2+1)*$N$3,"""")"),"")</f>
        <v/>
      </c>
      <c r="F85" s="16" t="str">
        <f t="shared" ca="1" si="11"/>
        <v/>
      </c>
      <c r="G85" s="16"/>
      <c r="H85" s="22" t="str">
        <f ca="1">IFERROR(__xludf.dummyfunction("iferror(1000+INT(($N$4-(index(split(G85,"":""),1)*60+index(split(G85,"":""),2 )))/0.2+1)*$N$5,"""")"),"")</f>
        <v/>
      </c>
      <c r="I85" s="16" t="str">
        <f t="shared" ca="1" si="8"/>
        <v/>
      </c>
      <c r="J85" s="16" t="str">
        <f t="shared" si="9"/>
        <v/>
      </c>
      <c r="K85" s="16" t="str">
        <f t="shared" si="10"/>
        <v/>
      </c>
      <c r="L85" s="16"/>
    </row>
    <row r="86" spans="1:12" ht="14.5" x14ac:dyDescent="0.35">
      <c r="A86" s="16"/>
      <c r="B86" s="16"/>
      <c r="C86" s="16"/>
      <c r="D86" s="16"/>
      <c r="E86" s="22" t="str">
        <f ca="1">IFERROR(__xludf.dummyfunction("iferror(1000+INT(($N$2-(index(split(D86,"":""),1)*60+index(split(D86,"":""),2 )))/0.2+1)*$N$3,"""")"),"")</f>
        <v/>
      </c>
      <c r="F86" s="16" t="str">
        <f t="shared" ca="1" si="11"/>
        <v/>
      </c>
      <c r="G86" s="16"/>
      <c r="H86" s="22" t="str">
        <f ca="1">IFERROR(__xludf.dummyfunction("iferror(1000+INT(($N$4-(index(split(G86,"":""),1)*60+index(split(G86,"":""),2 )))/0.2+1)*$N$5,"""")"),"")</f>
        <v/>
      </c>
      <c r="I86" s="16" t="str">
        <f t="shared" ca="1" si="8"/>
        <v/>
      </c>
      <c r="J86" s="16" t="str">
        <f t="shared" si="9"/>
        <v/>
      </c>
      <c r="K86" s="16" t="str">
        <f t="shared" si="10"/>
        <v/>
      </c>
      <c r="L86" s="16"/>
    </row>
    <row r="87" spans="1:12" ht="14.5" x14ac:dyDescent="0.35">
      <c r="A87" s="16"/>
      <c r="B87" s="16"/>
      <c r="C87" s="16"/>
      <c r="D87" s="16"/>
      <c r="E87" s="22" t="str">
        <f ca="1">IFERROR(__xludf.dummyfunction("iferror(1000+INT(($N$2-(index(split(D87,"":""),1)*60+index(split(D87,"":""),2 )))/0.2+1)*$N$3,"""")"),"")</f>
        <v/>
      </c>
      <c r="F87" s="16" t="str">
        <f t="shared" ca="1" si="11"/>
        <v/>
      </c>
      <c r="G87" s="16"/>
      <c r="H87" s="22" t="str">
        <f ca="1">IFERROR(__xludf.dummyfunction("iferror(1000+INT(($N$4-(index(split(G87,"":""),1)*60+index(split(G87,"":""),2 )))/0.2+1)*$N$5,"""")"),"")</f>
        <v/>
      </c>
      <c r="I87" s="16" t="str">
        <f t="shared" ca="1" si="8"/>
        <v/>
      </c>
      <c r="J87" s="16" t="str">
        <f t="shared" si="9"/>
        <v/>
      </c>
      <c r="K87" s="16" t="str">
        <f t="shared" si="10"/>
        <v/>
      </c>
      <c r="L87" s="16"/>
    </row>
    <row r="88" spans="1:12" ht="14.5" x14ac:dyDescent="0.35">
      <c r="A88" s="16"/>
      <c r="B88" s="16"/>
      <c r="C88" s="16"/>
      <c r="D88" s="16"/>
      <c r="E88" s="22" t="str">
        <f ca="1">IFERROR(__xludf.dummyfunction("iferror(1000+INT(($N$2-(index(split(D88,"":""),1)*60+index(split(D88,"":""),2 )))/0.2+1)*$N$3,"""")"),"")</f>
        <v/>
      </c>
      <c r="F88" s="16" t="str">
        <f t="shared" ca="1" si="11"/>
        <v/>
      </c>
      <c r="G88" s="16"/>
      <c r="H88" s="22" t="str">
        <f ca="1">IFERROR(__xludf.dummyfunction("iferror(1000+INT(($N$4-(index(split(G88,"":""),1)*60+index(split(G88,"":""),2 )))/0.2+1)*$N$5,"""")"),"")</f>
        <v/>
      </c>
      <c r="I88" s="16" t="str">
        <f t="shared" ca="1" si="8"/>
        <v/>
      </c>
      <c r="J88" s="16" t="str">
        <f t="shared" si="9"/>
        <v/>
      </c>
      <c r="K88" s="16" t="str">
        <f t="shared" si="10"/>
        <v/>
      </c>
      <c r="L88" s="16"/>
    </row>
    <row r="89" spans="1:12" ht="14.5" x14ac:dyDescent="0.35">
      <c r="A89" s="16"/>
      <c r="B89" s="16"/>
      <c r="C89" s="16"/>
      <c r="D89" s="16"/>
      <c r="E89" s="22" t="str">
        <f ca="1">IFERROR(__xludf.dummyfunction("iferror(1000+INT(($N$2-(index(split(D89,"":""),1)*60+index(split(D89,"":""),2 )))/0.2+1)*$N$3,"""")"),"")</f>
        <v/>
      </c>
      <c r="F89" s="16" t="str">
        <f t="shared" ca="1" si="11"/>
        <v/>
      </c>
      <c r="G89" s="16"/>
      <c r="H89" s="22" t="str">
        <f ca="1">IFERROR(__xludf.dummyfunction("iferror(1000+INT(($N$4-(index(split(G89,"":""),1)*60+index(split(G89,"":""),2 )))/0.2+1)*$N$5,"""")"),"")</f>
        <v/>
      </c>
      <c r="I89" s="16" t="str">
        <f t="shared" ca="1" si="8"/>
        <v/>
      </c>
      <c r="J89" s="16" t="str">
        <f t="shared" si="9"/>
        <v/>
      </c>
      <c r="K89" s="16" t="str">
        <f t="shared" si="10"/>
        <v/>
      </c>
      <c r="L89" s="16"/>
    </row>
    <row r="90" spans="1:12" ht="14.5" x14ac:dyDescent="0.35">
      <c r="A90" s="16"/>
      <c r="B90" s="16"/>
      <c r="C90" s="16"/>
      <c r="D90" s="16"/>
      <c r="E90" s="22" t="str">
        <f ca="1">IFERROR(__xludf.dummyfunction("iferror(1000+INT(($N$2-(index(split(D90,"":""),1)*60+index(split(D90,"":""),2 )))/0.2+1)*$N$3,"""")"),"")</f>
        <v/>
      </c>
      <c r="F90" s="16" t="str">
        <f t="shared" ca="1" si="11"/>
        <v/>
      </c>
      <c r="G90" s="16"/>
      <c r="H90" s="22" t="str">
        <f ca="1">IFERROR(__xludf.dummyfunction("iferror(1000+INT(($N$4-(index(split(G90,"":""),1)*60+index(split(G90,"":""),2 )))/0.2+1)*$N$5,"""")"),"")</f>
        <v/>
      </c>
      <c r="I90" s="16" t="str">
        <f t="shared" ca="1" si="8"/>
        <v/>
      </c>
      <c r="J90" s="16" t="str">
        <f t="shared" si="9"/>
        <v/>
      </c>
      <c r="K90" s="16" t="str">
        <f t="shared" si="10"/>
        <v/>
      </c>
      <c r="L90" s="16"/>
    </row>
    <row r="91" spans="1:12" ht="14.5" x14ac:dyDescent="0.35">
      <c r="A91" s="16"/>
      <c r="B91" s="16"/>
      <c r="C91" s="16"/>
      <c r="D91" s="16"/>
      <c r="E91" s="22" t="str">
        <f ca="1">IFERROR(__xludf.dummyfunction("iferror(1000+INT(($N$2-(index(split(D91,"":""),1)*60+index(split(D91,"":""),2 )))/0.2+1)*$N$3,"""")"),"")</f>
        <v/>
      </c>
      <c r="F91" s="16" t="str">
        <f t="shared" ca="1" si="11"/>
        <v/>
      </c>
      <c r="G91" s="16"/>
      <c r="H91" s="22" t="str">
        <f ca="1">IFERROR(__xludf.dummyfunction("iferror(1000+INT(($N$4-(index(split(G91,"":""),1)*60+index(split(G91,"":""),2 )))/0.2+1)*$N$5,"""")"),"")</f>
        <v/>
      </c>
      <c r="I91" s="16" t="str">
        <f t="shared" ca="1" si="8"/>
        <v/>
      </c>
      <c r="J91" s="16" t="str">
        <f t="shared" si="9"/>
        <v/>
      </c>
      <c r="K91" s="16" t="str">
        <f t="shared" si="10"/>
        <v/>
      </c>
      <c r="L91" s="16"/>
    </row>
    <row r="92" spans="1:12" ht="14.5" x14ac:dyDescent="0.35">
      <c r="A92" s="16"/>
      <c r="B92" s="16"/>
      <c r="C92" s="16"/>
      <c r="D92" s="16"/>
      <c r="E92" s="22" t="str">
        <f ca="1">IFERROR(__xludf.dummyfunction("iferror(1000+INT(($N$2-(index(split(D92,"":""),1)*60+index(split(D92,"":""),2 )))/0.2+1)*$N$3,"""")"),"")</f>
        <v/>
      </c>
      <c r="F92" s="16" t="str">
        <f t="shared" ca="1" si="11"/>
        <v/>
      </c>
      <c r="G92" s="16"/>
      <c r="H92" s="22" t="str">
        <f ca="1">IFERROR(__xludf.dummyfunction("iferror(1000+INT(($N$4-(index(split(G92,"":""),1)*60+index(split(G92,"":""),2 )))/0.2+1)*$N$5,"""")"),"")</f>
        <v/>
      </c>
      <c r="I92" s="16" t="str">
        <f t="shared" ca="1" si="8"/>
        <v/>
      </c>
      <c r="J92" s="16" t="str">
        <f t="shared" si="9"/>
        <v/>
      </c>
      <c r="K92" s="16" t="str">
        <f t="shared" si="10"/>
        <v/>
      </c>
      <c r="L92" s="16"/>
    </row>
    <row r="93" spans="1:12" ht="14.5" x14ac:dyDescent="0.35">
      <c r="A93" s="16"/>
      <c r="B93" s="16"/>
      <c r="C93" s="16"/>
      <c r="D93" s="16"/>
      <c r="E93" s="22" t="str">
        <f ca="1">IFERROR(__xludf.dummyfunction("iferror(1000+INT(($N$2-(index(split(D93,"":""),1)*60+index(split(D93,"":""),2 )))/0.2+1)*$N$3,"""")"),"")</f>
        <v/>
      </c>
      <c r="F93" s="16" t="str">
        <f t="shared" ca="1" si="11"/>
        <v/>
      </c>
      <c r="G93" s="16"/>
      <c r="H93" s="22" t="str">
        <f ca="1">IFERROR(__xludf.dummyfunction("iferror(1000+INT(($N$4-(index(split(G93,"":""),1)*60+index(split(G93,"":""),2 )))/0.2+1)*$N$5,"""")"),"")</f>
        <v/>
      </c>
      <c r="I93" s="16" t="str">
        <f t="shared" ca="1" si="8"/>
        <v/>
      </c>
      <c r="J93" s="16" t="str">
        <f t="shared" si="9"/>
        <v/>
      </c>
      <c r="K93" s="16" t="str">
        <f t="shared" si="10"/>
        <v/>
      </c>
      <c r="L93" s="16"/>
    </row>
    <row r="94" spans="1:12" ht="14.5" x14ac:dyDescent="0.35">
      <c r="A94" s="16"/>
      <c r="B94" s="16"/>
      <c r="C94" s="16"/>
      <c r="D94" s="16"/>
      <c r="E94" s="22" t="str">
        <f ca="1">IFERROR(__xludf.dummyfunction("iferror(1000+INT(($N$2-(index(split(D94,"":""),1)*60+index(split(D94,"":""),2 )))/0.2+1)*$N$3,"""")"),"")</f>
        <v/>
      </c>
      <c r="F94" s="16" t="str">
        <f t="shared" ca="1" si="11"/>
        <v/>
      </c>
      <c r="G94" s="16"/>
      <c r="H94" s="22" t="str">
        <f ca="1">IFERROR(__xludf.dummyfunction("iferror(1000+INT(($N$4-(index(split(G94,"":""),1)*60+index(split(G94,"":""),2 )))/0.2+1)*$N$5,"""")"),"")</f>
        <v/>
      </c>
      <c r="I94" s="16" t="str">
        <f t="shared" ca="1" si="8"/>
        <v/>
      </c>
      <c r="J94" s="16" t="str">
        <f t="shared" si="9"/>
        <v/>
      </c>
      <c r="K94" s="16" t="str">
        <f t="shared" si="10"/>
        <v/>
      </c>
      <c r="L94" s="16"/>
    </row>
    <row r="95" spans="1:12" ht="14.5" x14ac:dyDescent="0.35">
      <c r="A95" s="16"/>
      <c r="B95" s="16"/>
      <c r="C95" s="16"/>
      <c r="D95" s="16"/>
      <c r="E95" s="22" t="str">
        <f ca="1">IFERROR(__xludf.dummyfunction("iferror(1000+INT(($N$2-(index(split(D95,"":""),1)*60+index(split(D95,"":""),2 )))/0.2+1)*$N$3,"""")"),"")</f>
        <v/>
      </c>
      <c r="F95" s="16" t="str">
        <f t="shared" ca="1" si="11"/>
        <v/>
      </c>
      <c r="G95" s="16"/>
      <c r="H95" s="22" t="str">
        <f ca="1">IFERROR(__xludf.dummyfunction("iferror(1000+INT(($N$4-(index(split(G95,"":""),1)*60+index(split(G95,"":""),2 )))/0.2+1)*$N$5,"""")"),"")</f>
        <v/>
      </c>
      <c r="I95" s="16" t="str">
        <f t="shared" ca="1" si="8"/>
        <v/>
      </c>
      <c r="J95" s="16" t="str">
        <f t="shared" si="9"/>
        <v/>
      </c>
      <c r="K95" s="16" t="str">
        <f t="shared" si="10"/>
        <v/>
      </c>
      <c r="L95" s="16"/>
    </row>
    <row r="96" spans="1:12" ht="14.5" x14ac:dyDescent="0.35">
      <c r="A96" s="16"/>
      <c r="B96" s="16"/>
      <c r="C96" s="16"/>
      <c r="D96" s="16"/>
      <c r="E96" s="22" t="str">
        <f ca="1">IFERROR(__xludf.dummyfunction("iferror(1000+INT(($N$2-(index(split(D96,"":""),1)*60+index(split(D96,"":""),2 )))/0.2+1)*$N$3,"""")"),"")</f>
        <v/>
      </c>
      <c r="F96" s="16" t="str">
        <f t="shared" ca="1" si="11"/>
        <v/>
      </c>
      <c r="G96" s="16"/>
      <c r="H96" s="22" t="str">
        <f ca="1">IFERROR(__xludf.dummyfunction("iferror(1000+INT(($N$4-(index(split(G96,"":""),1)*60+index(split(G96,"":""),2 )))/0.2+1)*$N$5,"""")"),"")</f>
        <v/>
      </c>
      <c r="I96" s="16" t="str">
        <f t="shared" ca="1" si="8"/>
        <v/>
      </c>
      <c r="J96" s="16" t="str">
        <f t="shared" si="9"/>
        <v/>
      </c>
      <c r="K96" s="16" t="str">
        <f t="shared" si="10"/>
        <v/>
      </c>
      <c r="L96" s="16"/>
    </row>
    <row r="97" spans="1:12" ht="14.5" x14ac:dyDescent="0.35">
      <c r="A97" s="16"/>
      <c r="B97" s="16"/>
      <c r="C97" s="16"/>
      <c r="D97" s="16"/>
      <c r="E97" s="22" t="str">
        <f ca="1">IFERROR(__xludf.dummyfunction("iferror(1000+INT(($N$2-(index(split(D97,"":""),1)*60+index(split(D97,"":""),2 )))/0.2+1)*$N$3,"""")"),"")</f>
        <v/>
      </c>
      <c r="F97" s="16" t="str">
        <f t="shared" ca="1" si="11"/>
        <v/>
      </c>
      <c r="G97" s="16"/>
      <c r="H97" s="22" t="str">
        <f ca="1">IFERROR(__xludf.dummyfunction("iferror(1000+INT(($N$4-(index(split(G97,"":""),1)*60+index(split(G97,"":""),2 )))/0.2+1)*$N$5,"""")"),"")</f>
        <v/>
      </c>
      <c r="I97" s="16" t="str">
        <f t="shared" ca="1" si="8"/>
        <v/>
      </c>
      <c r="J97" s="16" t="str">
        <f t="shared" si="9"/>
        <v/>
      </c>
      <c r="K97" s="16" t="str">
        <f t="shared" si="10"/>
        <v/>
      </c>
      <c r="L97" s="16"/>
    </row>
    <row r="98" spans="1:12" ht="14.5" x14ac:dyDescent="0.35">
      <c r="A98" s="16"/>
      <c r="B98" s="16"/>
      <c r="C98" s="16"/>
      <c r="D98" s="16"/>
      <c r="E98" s="22" t="str">
        <f ca="1">IFERROR(__xludf.dummyfunction("iferror(1000+INT(($N$2-(index(split(D98,"":""),1)*60+index(split(D98,"":""),2 )))/0.2+1)*$N$3,"""")"),"")</f>
        <v/>
      </c>
      <c r="F98" s="16" t="str">
        <f t="shared" ca="1" si="11"/>
        <v/>
      </c>
      <c r="G98" s="16"/>
      <c r="H98" s="22" t="str">
        <f ca="1">IFERROR(__xludf.dummyfunction("iferror(1000+INT(($N$4-(index(split(G98,"":""),1)*60+index(split(G98,"":""),2 )))/0.2+1)*$N$5,"""")"),"")</f>
        <v/>
      </c>
      <c r="I98" s="16" t="str">
        <f t="shared" ref="I98:I129" ca="1" si="12">IFERROR(_xlfn.RANK.EQ(H98,H:H),"")</f>
        <v/>
      </c>
      <c r="J98" s="16" t="str">
        <f t="shared" si="9"/>
        <v/>
      </c>
      <c r="K98" s="16" t="str">
        <f t="shared" ref="K98:K129" si="13">IFERROR(_xlfn.RANK.EQ(J98,J:J),"")</f>
        <v/>
      </c>
      <c r="L98" s="16"/>
    </row>
    <row r="99" spans="1:12" ht="14.5" x14ac:dyDescent="0.35">
      <c r="A99" s="16"/>
      <c r="B99" s="16"/>
      <c r="C99" s="16"/>
      <c r="D99" s="16"/>
      <c r="E99" s="22" t="str">
        <f ca="1">IFERROR(__xludf.dummyfunction("iferror(1000+INT(($N$2-(index(split(D99,"":""),1)*60+index(split(D99,"":""),2 )))/0.2+1)*$N$3,"""")"),"")</f>
        <v/>
      </c>
      <c r="F99" s="16" t="str">
        <f t="shared" ca="1" si="11"/>
        <v/>
      </c>
      <c r="G99" s="16"/>
      <c r="H99" s="22" t="str">
        <f ca="1">IFERROR(__xludf.dummyfunction("iferror(1000+INT(($N$4-(index(split(G99,"":""),1)*60+index(split(G99,"":""),2 )))/0.2+1)*$N$5,"""")"),"")</f>
        <v/>
      </c>
      <c r="I99" s="16" t="str">
        <f t="shared" ca="1" si="12"/>
        <v/>
      </c>
      <c r="J99" s="16" t="str">
        <f t="shared" si="9"/>
        <v/>
      </c>
      <c r="K99" s="16" t="str">
        <f t="shared" si="13"/>
        <v/>
      </c>
      <c r="L99" s="16"/>
    </row>
    <row r="100" spans="1:12" ht="14.5" x14ac:dyDescent="0.35">
      <c r="A100" s="16"/>
      <c r="B100" s="16"/>
      <c r="C100" s="16"/>
      <c r="D100" s="16"/>
      <c r="E100" s="22" t="str">
        <f ca="1">IFERROR(__xludf.dummyfunction("iferror(1000+INT(($N$2-(index(split(D100,"":""),1)*60+index(split(D100,"":""),2 )))/0.2+1)*$N$3,"""")"),"")</f>
        <v/>
      </c>
      <c r="F100" s="16" t="str">
        <f t="shared" ref="F100:F131" ca="1" si="14">IFERROR(_xlfn.RANK.EQ(E100,E:E),"")</f>
        <v/>
      </c>
      <c r="G100" s="16"/>
      <c r="H100" s="22" t="str">
        <f ca="1">IFERROR(__xludf.dummyfunction("iferror(1000+INT(($N$4-(index(split(G100,"":""),1)*60+index(split(G100,"":""),2 )))/0.2+1)*$N$5,"""")"),"")</f>
        <v/>
      </c>
      <c r="I100" s="16" t="str">
        <f t="shared" ca="1" si="12"/>
        <v/>
      </c>
      <c r="J100" s="16" t="str">
        <f t="shared" si="9"/>
        <v/>
      </c>
      <c r="K100" s="16" t="str">
        <f t="shared" si="13"/>
        <v/>
      </c>
      <c r="L100" s="16"/>
    </row>
    <row r="101" spans="1:12" ht="14.5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4.5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4.5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4.5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4.5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4.5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4.5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4.5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4.5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4.5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4.5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4.5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4.5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4.5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4.5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4.5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4.5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4.5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4.5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4.5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4.5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4.5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4.5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4.5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4.5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4.5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4.5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4.5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4.5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4.5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4.5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4.5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4.5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4.5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4.5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4.5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4.5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4.5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4.5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4.5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4.5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4.5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4.5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4.5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4.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4.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4.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4.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4.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4.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4.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4.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4.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4.5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4.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4.5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4.5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4.5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4.5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4.5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4.5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4.5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ht="14.5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4.5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ht="14.5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ht="14.5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4.5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4.5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5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4.5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4.5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4.5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4.5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4.5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4.5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4.5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4.5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4.5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4.5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4.5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4.5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4.5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4.5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4.5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4.5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4.5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4.5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4.5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4.5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4.5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4.5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4.5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4.5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4.5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4.5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4.5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4.5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4.5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4.5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4.5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4.5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4.5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4.5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4.5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4.5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4.5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4.5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4.5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4.5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4.5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4.5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4.5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4.5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4.5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4.5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4.5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4.5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4.5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4.5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4.5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4.5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4.5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4.5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4.5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4.5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4.5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4.5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4.5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4.5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4.5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4.5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4.5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4.5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5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4.5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4.5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4.5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4.5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4.5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4.5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4.5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4.5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4.5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4.5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4.5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4.5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4.5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4.5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4.5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4.5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4.5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4.5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4.5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4.5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4.5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4.5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4.5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4.5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4.5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4.5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4.5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4.5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4.5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4.5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4.5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4.5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4.5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4.5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4.5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4.5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4.5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4.5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4.5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4.5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4.5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4.5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4.5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4.5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4.5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4.5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4.5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4.5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4.5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4.5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4.5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4.5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4.5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4.5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4.5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4.5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4.5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4.5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4.5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4.5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4.5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4.5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4.5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4.5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4.5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4.5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4.5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4.5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4.5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4.5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4.5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4.5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4.5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4.5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4.5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4.5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4.5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4.5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4.5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4.5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4.5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4.5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4.5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4.5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4.5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4.5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4.5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4.5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4.5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4.5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4.5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4.5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4.5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4.5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4.5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4.5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4.5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4.5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4.5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4.5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4.5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4.5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4.5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4.5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4.5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4.5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4.5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4.5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4.5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4.5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4.5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4.5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4.5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4.5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4.5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4.5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4.5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4.5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4.5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4.5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4.5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4.5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4.5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4.5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4.5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4.5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4.5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4.5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4.5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4.5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4.5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4.5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4.5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4.5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4.5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4.5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4.5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4.5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4.5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4.5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4.5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4.5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4.5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4.5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4.5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ht="14.5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ht="14.5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ht="14.5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ht="14.5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ht="14.5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ht="14.5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ht="14.5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ht="14.5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ht="14.5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ht="14.5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ht="14.5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ht="14.5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ht="14.5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ht="14.5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ht="14.5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ht="14.5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ht="14.5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ht="14.5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ht="14.5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ht="14.5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ht="14.5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ht="14.5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ht="14.5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ht="14.5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ht="14.5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ht="14.5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ht="14.5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ht="14.5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ht="14.5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ht="14.5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ht="14.5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ht="14.5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ht="14.5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ht="14.5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ht="14.5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ht="14.5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ht="14.5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ht="14.5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ht="14.5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ht="14.5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ht="14.5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ht="14.5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ht="14.5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ht="14.5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ht="14.5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ht="14.5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ht="14.5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ht="14.5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ht="14.5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ht="14.5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ht="14.5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ht="14.5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ht="14.5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ht="14.5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ht="14.5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ht="14.5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ht="14.5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ht="14.5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 ht="14.5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 ht="14.5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 ht="14.5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 ht="14.5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 ht="14.5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 ht="14.5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 ht="14.5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 ht="14.5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 ht="14.5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 ht="14.5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 ht="14.5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 ht="14.5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 ht="14.5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 ht="14.5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 ht="14.5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 ht="14.5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 ht="14.5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 ht="14.5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 ht="14.5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 ht="14.5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 ht="14.5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 ht="14.5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 ht="14.5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 ht="14.5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 ht="14.5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 ht="14.5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 ht="14.5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 ht="14.5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 ht="14.5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 ht="14.5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 ht="14.5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 ht="14.5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 ht="14.5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 ht="14.5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 ht="14.5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 ht="14.5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 ht="14.5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 ht="14.5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 ht="14.5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 ht="14.5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 ht="14.5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 ht="14.5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 ht="14.5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 ht="14.5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 ht="14.5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 ht="14.5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 ht="14.5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 ht="14.5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 ht="14.5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 ht="14.5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 ht="14.5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 ht="14.5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 ht="14.5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 ht="14.5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 ht="14.5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 ht="14.5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 ht="14.5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 ht="14.5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 ht="14.5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 ht="14.5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 ht="14.5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 ht="14.5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 ht="14.5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 ht="14.5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 ht="14.5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 ht="14.5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 ht="14.5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 ht="14.5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 ht="14.5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 ht="14.5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 ht="14.5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 ht="14.5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 ht="14.5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 ht="14.5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 ht="14.5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 ht="14.5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 ht="14.5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 ht="14.5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 ht="14.5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 ht="14.5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 ht="14.5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 ht="14.5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 ht="14.5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ht="14.5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ht="14.5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ht="14.5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ht="14.5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ht="14.5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ht="14.5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ht="14.5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ht="14.5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 ht="14.5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 ht="14.5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 ht="14.5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 ht="14.5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 ht="14.5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 ht="14.5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 ht="14.5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 ht="14.5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 ht="14.5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 ht="14.5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 ht="14.5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 ht="14.5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 ht="14.5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 ht="14.5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 ht="14.5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 ht="14.5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 ht="14.5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 ht="14.5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 ht="14.5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 ht="14.5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 ht="14.5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 ht="14.5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 ht="14.5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 ht="14.5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 ht="14.5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 ht="14.5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 ht="14.5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 ht="14.5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 ht="14.5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 ht="14.5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 ht="14.5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 ht="14.5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 ht="14.5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 ht="14.5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 ht="14.5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 ht="14.5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 ht="14.5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 ht="14.5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 ht="14.5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 ht="14.5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 ht="14.5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 ht="14.5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 ht="14.5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 ht="14.5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 ht="14.5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 ht="14.5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 ht="14.5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 ht="14.5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 ht="14.5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 ht="14.5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 ht="14.5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 ht="14.5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 ht="14.5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 ht="14.5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 ht="14.5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 ht="14.5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 ht="14.5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 ht="14.5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 ht="14.5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 ht="14.5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 ht="14.5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 ht="14.5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 ht="14.5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 ht="14.5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 ht="14.5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 ht="14.5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 ht="14.5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 ht="14.5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 ht="14.5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 ht="14.5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 ht="14.5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 ht="14.5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 ht="14.5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 ht="14.5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 ht="14.5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 ht="14.5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 ht="14.5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 ht="14.5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 ht="14.5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 ht="14.5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 ht="14.5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 ht="14.5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 ht="14.5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 ht="14.5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 ht="14.5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 ht="14.5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 ht="14.5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 ht="14.5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 ht="14.5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 ht="14.5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 ht="14.5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 ht="14.5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 ht="14.5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 ht="14.5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 ht="14.5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 ht="14.5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 ht="14.5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 ht="14.5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 ht="14.5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 ht="14.5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 ht="14.5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 ht="14.5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 ht="14.5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 ht="14.5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 ht="14.5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 ht="14.5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 ht="14.5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 ht="14.5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 ht="14.5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 ht="14.5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 ht="14.5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 ht="14.5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 ht="14.5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 ht="14.5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 ht="14.5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 ht="14.5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 ht="14.5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 ht="14.5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 ht="14.5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 ht="14.5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 ht="14.5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 ht="14.5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 ht="14.5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 ht="14.5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 ht="14.5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 ht="14.5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 ht="14.5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 ht="14.5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 ht="14.5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 ht="14.5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 ht="14.5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 ht="14.5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 ht="14.5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 ht="14.5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 ht="14.5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 ht="14.5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 ht="14.5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 ht="14.5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 ht="14.5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 ht="14.5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 ht="14.5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 ht="14.5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 ht="14.5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 ht="14.5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 ht="14.5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 ht="14.5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 ht="14.5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 ht="14.5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 ht="14.5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 ht="14.5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 ht="14.5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 ht="14.5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 ht="14.5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 ht="14.5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 ht="14.5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 ht="14.5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 ht="14.5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 ht="14.5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 ht="14.5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 ht="14.5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 ht="14.5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 ht="14.5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 ht="14.5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 ht="14.5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 ht="14.5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 ht="14.5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 ht="14.5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 ht="14.5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 ht="14.5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 ht="14.5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 ht="14.5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 ht="14.5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 ht="14.5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 ht="14.5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 ht="14.5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 ht="14.5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 ht="14.5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 ht="14.5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 ht="14.5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 ht="14.5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 ht="14.5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 ht="14.5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 ht="14.5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 ht="14.5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 ht="14.5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 ht="14.5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 ht="14.5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 ht="14.5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 ht="14.5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 ht="14.5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 ht="14.5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 ht="14.5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 ht="14.5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 ht="14.5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 ht="14.5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 ht="14.5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 ht="14.5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 ht="14.5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 ht="14.5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 ht="14.5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 ht="14.5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 ht="14.5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 ht="14.5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 ht="14.5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 ht="14.5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 ht="14.5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 ht="14.5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 ht="14.5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 ht="14.5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 ht="14.5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 ht="14.5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 ht="14.5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 ht="14.5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 ht="14.5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 ht="14.5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 ht="14.5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 ht="14.5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 ht="14.5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 ht="14.5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 ht="14.5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 ht="14.5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 ht="14.5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 ht="14.5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 ht="14.5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 ht="14.5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 ht="14.5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 ht="14.5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 ht="14.5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 ht="14.5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 ht="14.5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 ht="14.5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 ht="14.5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 ht="14.5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 ht="14.5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 ht="14.5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 ht="14.5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 ht="14.5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 ht="14.5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 ht="14.5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 ht="14.5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 ht="14.5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 ht="14.5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 ht="14.5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 ht="14.5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 ht="14.5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 ht="14.5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 ht="14.5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 ht="14.5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 ht="14.5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 ht="14.5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 ht="14.5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 ht="14.5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 ht="14.5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 ht="14.5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 ht="14.5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 ht="14.5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 ht="14.5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 ht="14.5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 ht="14.5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 ht="14.5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 ht="14.5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 ht="14.5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 ht="14.5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 ht="14.5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 ht="14.5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 ht="14.5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 ht="14.5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 ht="14.5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 ht="14.5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 ht="14.5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 ht="14.5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 ht="14.5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 ht="14.5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 ht="14.5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 ht="14.5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 ht="14.5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 ht="14.5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 ht="14.5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 ht="14.5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 ht="14.5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 ht="14.5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 ht="14.5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 ht="14.5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 ht="14.5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 ht="14.5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 ht="14.5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 ht="14.5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 ht="14.5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 ht="14.5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 ht="14.5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 ht="14.5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 ht="14.5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 ht="14.5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 ht="14.5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 ht="14.5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 ht="14.5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 ht="14.5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 ht="14.5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 ht="14.5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 ht="14.5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 ht="14.5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 ht="14.5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 ht="14.5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 ht="14.5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 ht="14.5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 ht="14.5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 ht="14.5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 ht="14.5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 ht="14.5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 ht="14.5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 ht="14.5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 ht="14.5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 ht="14.5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 ht="14.5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 ht="14.5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 ht="14.5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 ht="14.5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 ht="14.5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 ht="14.5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 ht="14.5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 ht="14.5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 ht="14.5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 ht="14.5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 ht="14.5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 ht="14.5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 ht="14.5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 ht="14.5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 ht="14.5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 ht="14.5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 ht="14.5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 ht="14.5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 ht="14.5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 ht="14.5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 ht="14.5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 ht="14.5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 ht="14.5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 ht="14.5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 ht="14.5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 ht="14.5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 ht="14.5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 ht="14.5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 ht="14.5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 ht="14.5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 ht="14.5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 ht="14.5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 ht="14.5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 ht="14.5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 ht="14.5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 ht="14.5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 ht="14.5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 ht="14.5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 ht="14.5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 ht="14.5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 ht="14.5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 ht="14.5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 ht="14.5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 ht="14.5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 ht="14.5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 ht="14.5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 ht="14.5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 ht="14.5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 ht="14.5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 ht="14.5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 ht="14.5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 ht="14.5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 ht="14.5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 ht="14.5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 ht="14.5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 ht="14.5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 ht="14.5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 ht="14.5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 ht="14.5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 ht="14.5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 ht="14.5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 ht="14.5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 ht="14.5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 ht="14.5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 ht="14.5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 ht="14.5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 ht="14.5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 ht="14.5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 ht="14.5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 ht="14.5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 ht="14.5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 ht="14.5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 ht="14.5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 ht="14.5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 ht="14.5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 ht="14.5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 ht="14.5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 ht="14.5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 ht="14.5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 ht="14.5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 ht="14.5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 ht="14.5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 ht="14.5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 ht="14.5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</sheetData>
  <sortState xmlns:xlrd2="http://schemas.microsoft.com/office/spreadsheetml/2017/richdata2" ref="A2:L18">
    <sortCondition ref="K2:K18"/>
  </sortState>
  <printOptions horizontalCentered="1" gridLines="1"/>
  <pageMargins left="0.7" right="0.7" top="1.1437499999999998" bottom="1.1437499999999998" header="0.75" footer="0.75"/>
  <pageSetup paperSize="0" fitToWidth="0" fitToHeight="0" pageOrder="overThenDown" orientation="landscape" horizontalDpi="0" verticalDpi="0" copies="0"/>
  <headerFooter alignWithMargins="0"/>
  <ignoredErrors>
    <ignoredError sqref="J2:J4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'Scoring tables'!$A$2:$A$57</xm:f>
          </x14:formula1>
          <xm:sqref>L1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tabSelected="1" workbookViewId="0">
      <selection activeCell="L18" sqref="L18"/>
    </sheetView>
  </sheetViews>
  <sheetFormatPr defaultRowHeight="15.75" customHeight="1" x14ac:dyDescent="0.35"/>
  <cols>
    <col min="1" max="1" width="10.4140625" style="25" customWidth="1"/>
    <col min="2" max="2" width="23.58203125" style="25" customWidth="1"/>
    <col min="3" max="3" width="22.4140625" style="25" customWidth="1"/>
    <col min="4" max="11" width="8.4140625" style="25" customWidth="1"/>
    <col min="12" max="1024" width="11.6640625" style="25" customWidth="1"/>
    <col min="1025" max="16384" width="8.6640625" style="25"/>
  </cols>
  <sheetData>
    <row r="1" spans="1:14" ht="30.75" customHeight="1" x14ac:dyDescent="0.35">
      <c r="A1" s="20" t="s">
        <v>0</v>
      </c>
      <c r="B1" s="20" t="s">
        <v>26</v>
      </c>
      <c r="C1" s="20" t="s">
        <v>27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14</v>
      </c>
    </row>
    <row r="2" spans="1:14" ht="14.5" x14ac:dyDescent="0.35">
      <c r="A2" s="16">
        <f ca="1">IFERROR(__xludf.dummyfunction("Query(Entries!$A$2:$U$1205,""select A,C,D where B = '""&amp;L1&amp;""'"")"),111)</f>
        <v>111</v>
      </c>
      <c r="B2" s="5" t="str">
        <f ca="1">IFERROR(__xludf.dummyfunction("""COMPUTED_VALUE"""),"Kiki Fletcher")</f>
        <v>Kiki Fletcher</v>
      </c>
      <c r="C2" s="5" t="str">
        <f ca="1">IFERROR(__xludf.dummyfunction("""COMPUTED_VALUE"""),"Millfield School (Prep and Snr)")</f>
        <v>Millfield School (Prep and Snr)</v>
      </c>
      <c r="D2" s="16" t="s">
        <v>267</v>
      </c>
      <c r="E2" s="22">
        <f ca="1">IFERROR(__xludf.dummyfunction("iferror(1000+INT(($N$2-(index(split(D2,"":""),1)*60+index(split(D2,"":""),2 )))/0.2+1)*$N$3,"""")"),1144)</f>
        <v>1144</v>
      </c>
      <c r="F2" s="16">
        <f ca="1">IFERROR(_xlfn.RANK.EQ(E2,E:E),"")</f>
        <v>2</v>
      </c>
      <c r="G2" s="22" t="s">
        <v>268</v>
      </c>
      <c r="H2" s="22">
        <f ca="1">IFERROR(__xludf.dummyfunction("iferror(1000+INT(($N$4-(index(split(G2,"":""),1)*60+index(split(G2,"":""),2 )))/0.2+1)*$N$5,"""")"),1234)</f>
        <v>1234</v>
      </c>
      <c r="I2" s="16">
        <f ca="1">IFERROR(_xlfn.RANK.EQ(H2,H:H),"")</f>
        <v>3</v>
      </c>
      <c r="J2" s="22">
        <f ca="1">IF(AND(D2="", G2=""), "", E2+H2)</f>
        <v>2378</v>
      </c>
      <c r="K2" s="16">
        <f ca="1">IFERROR(_xlfn.RANK.EQ(J2,J:J),"")</f>
        <v>1</v>
      </c>
      <c r="L2" s="16"/>
      <c r="M2" s="21" t="s">
        <v>38</v>
      </c>
      <c r="N2" s="26">
        <f>VLOOKUP($L$1,'Scoring tables'!$A$2:$K$57,10,0)</f>
        <v>74</v>
      </c>
    </row>
    <row r="3" spans="1:14" ht="14.5" x14ac:dyDescent="0.35">
      <c r="A3" s="16">
        <f ca="1">IFERROR(__xludf.dummyfunction("""COMPUTED_VALUE"""),122)</f>
        <v>122</v>
      </c>
      <c r="B3" s="5" t="str">
        <f ca="1">IFERROR(__xludf.dummyfunction("""COMPUTED_VALUE"""),"Zara McNamara")</f>
        <v>Zara McNamara</v>
      </c>
      <c r="C3" s="5" t="str">
        <f ca="1">IFERROR(__xludf.dummyfunction("""COMPUTED_VALUE"""),"Newcastle Under Lyme School")</f>
        <v>Newcastle Under Lyme School</v>
      </c>
      <c r="D3" s="16" t="s">
        <v>283</v>
      </c>
      <c r="E3" s="22">
        <f ca="1">IFERROR(__xludf.dummyfunction("iferror(1000+INT(($N$2-(index(split(D13,"":""),1)*60+index(split(D13,"":""),2 )))/0.2+1)*$N$3,"""")"),1064)</f>
        <v>1064</v>
      </c>
      <c r="F3" s="16">
        <f ca="1">IFERROR(_xlfn.RANK.EQ(E3,E:E),"")</f>
        <v>4</v>
      </c>
      <c r="G3" s="16" t="s">
        <v>284</v>
      </c>
      <c r="H3" s="22">
        <f ca="1">IFERROR(__xludf.dummyfunction("iferror(1000+INT(($N$4-(index(split(G13,"":""),1)*60+index(split(G13,"":""),2 )))/0.2+1)*$N$5,"""")"),1247)</f>
        <v>1247</v>
      </c>
      <c r="I3" s="16">
        <f ca="1">IFERROR(_xlfn.RANK.EQ(H3,H:H),"")</f>
        <v>1</v>
      </c>
      <c r="J3" s="22">
        <f t="shared" ref="J3:J49" ca="1" si="0">IF(AND(D3="", G3=""), "", E3+H3)</f>
        <v>2311</v>
      </c>
      <c r="K3" s="16">
        <f ca="1">IFERROR(_xlfn.RANK.EQ(J3,J:J),"")</f>
        <v>2</v>
      </c>
      <c r="L3" s="16"/>
      <c r="M3" s="21" t="s">
        <v>39</v>
      </c>
      <c r="N3" s="26">
        <f>VLOOKUP($L$1,'Scoring tables'!$A$2:$K$57,11,0)</f>
        <v>4</v>
      </c>
    </row>
    <row r="4" spans="1:14" ht="14.5" x14ac:dyDescent="0.35">
      <c r="A4" s="16">
        <f ca="1">IFERROR(__xludf.dummyfunction("""COMPUTED_VALUE"""),123)</f>
        <v>123</v>
      </c>
      <c r="B4" s="5" t="str">
        <f ca="1">IFERROR(__xludf.dummyfunction("""COMPUTED_VALUE"""),"Jennifer McMillan")</f>
        <v>Jennifer McMillan</v>
      </c>
      <c r="C4" s="5" t="str">
        <f ca="1">IFERROR(__xludf.dummyfunction("""COMPUTED_VALUE"""),"Heysham High School")</f>
        <v>Heysham High School</v>
      </c>
      <c r="D4" s="16" t="s">
        <v>285</v>
      </c>
      <c r="E4" s="22">
        <f ca="1">IFERROR(__xludf.dummyfunction("iferror(1000+INT(($N$2-(index(split(D14,"":""),1)*60+index(split(D14,"":""),2 )))/0.2+1)*$N$3,"""")"),1160)</f>
        <v>1160</v>
      </c>
      <c r="F4" s="16">
        <f ca="1">IFERROR(_xlfn.RANK.EQ(E4,E:E),"")</f>
        <v>1</v>
      </c>
      <c r="G4" s="16" t="s">
        <v>286</v>
      </c>
      <c r="H4" s="22">
        <f ca="1">IFERROR(__xludf.dummyfunction("iferror(1000+INT(($N$4-(index(split(G14,"":""),1)*60+index(split(G14,"":""),2 )))/0.2+1)*$N$5,"""")"),993)</f>
        <v>993</v>
      </c>
      <c r="I4" s="16">
        <f ca="1">IFERROR(_xlfn.RANK.EQ(H4,H:H),"")</f>
        <v>6</v>
      </c>
      <c r="J4" s="22">
        <f t="shared" ca="1" si="0"/>
        <v>2153</v>
      </c>
      <c r="K4" s="16">
        <f ca="1">IFERROR(_xlfn.RANK.EQ(J4,J:J),"")</f>
        <v>3</v>
      </c>
      <c r="L4" s="16"/>
      <c r="M4" s="21" t="s">
        <v>31</v>
      </c>
      <c r="N4" s="26">
        <f>VLOOKUP($L$1,'Scoring tables'!$A$2:$K$57,5,0)</f>
        <v>390</v>
      </c>
    </row>
    <row r="5" spans="1:14" ht="14.5" x14ac:dyDescent="0.35">
      <c r="A5" s="16">
        <f ca="1">IFERROR(__xludf.dummyfunction("""COMPUTED_VALUE"""),121)</f>
        <v>121</v>
      </c>
      <c r="B5" s="5" t="str">
        <f ca="1">IFERROR(__xludf.dummyfunction("""COMPUTED_VALUE"""),"Emma Anderson-Bickley")</f>
        <v>Emma Anderson-Bickley</v>
      </c>
      <c r="C5" s="5" t="str">
        <f ca="1">IFERROR(__xludf.dummyfunction("""COMPUTED_VALUE"""),"Windermere School")</f>
        <v>Windermere School</v>
      </c>
      <c r="D5" s="16" t="s">
        <v>281</v>
      </c>
      <c r="E5" s="22">
        <f ca="1">IFERROR(__xludf.dummyfunction("iferror(1000+INT(($N$2-(index(split(D12,"":""),1)*60+index(split(D12,"":""),2 )))/0.2+1)*$N$3,"""")"),1080)</f>
        <v>1080</v>
      </c>
      <c r="F5" s="16">
        <f ca="1">IFERROR(_xlfn.RANK.EQ(E5,E:E),"")</f>
        <v>3</v>
      </c>
      <c r="G5" s="16" t="s">
        <v>282</v>
      </c>
      <c r="H5" s="22">
        <f ca="1">IFERROR(__xludf.dummyfunction("iferror(1000+INT(($N$4-(index(split(G12,"":""),1)*60+index(split(G12,"":""),2 )))/0.2+1)*$N$5,"""")"),1063)</f>
        <v>1063</v>
      </c>
      <c r="I5" s="16">
        <f ca="1">IFERROR(_xlfn.RANK.EQ(H5,H:H),"")</f>
        <v>4</v>
      </c>
      <c r="J5" s="22">
        <f t="shared" ca="1" si="0"/>
        <v>2143</v>
      </c>
      <c r="K5" s="16">
        <f ca="1">IFERROR(_xlfn.RANK.EQ(J5,J:J),"")</f>
        <v>4</v>
      </c>
      <c r="L5" s="16"/>
      <c r="M5" s="21" t="s">
        <v>32</v>
      </c>
      <c r="N5" s="26">
        <f>VLOOKUP($L$1,'Scoring tables'!$A$2:$K$57,6,0)</f>
        <v>1</v>
      </c>
    </row>
    <row r="6" spans="1:14" ht="14.5" x14ac:dyDescent="0.35">
      <c r="A6" s="16">
        <f ca="1">IFERROR(__xludf.dummyfunction("""COMPUTED_VALUE"""),120)</f>
        <v>120</v>
      </c>
      <c r="B6" s="5" t="str">
        <f ca="1">IFERROR(__xludf.dummyfunction("""COMPUTED_VALUE"""),"Evie Kleiser")</f>
        <v>Evie Kleiser</v>
      </c>
      <c r="C6" s="5" t="str">
        <f ca="1">IFERROR(__xludf.dummyfunction("""COMPUTED_VALUE"""),"Durham Johnston Comprehensive")</f>
        <v>Durham Johnston Comprehensive</v>
      </c>
      <c r="D6" s="16" t="s">
        <v>279</v>
      </c>
      <c r="E6" s="22">
        <f ca="1">IFERROR(__xludf.dummyfunction("iferror(1000+INT(($N$2-(index(split(D11,"":""),1)*60+index(split(D11,"":""),2 )))/0.2+1)*$N$3,"""")"),852)</f>
        <v>852</v>
      </c>
      <c r="F6" s="16">
        <f ca="1">IFERROR(_xlfn.RANK.EQ(E6,E:E),"")</f>
        <v>9</v>
      </c>
      <c r="G6" s="16" t="s">
        <v>280</v>
      </c>
      <c r="H6" s="22">
        <f ca="1">IFERROR(__xludf.dummyfunction("iferror(1000+INT(($N$4-(index(split(G11,"":""),1)*60+index(split(G11,"":""),2 )))/0.2+1)*$N$5,"""")"),1238)</f>
        <v>1238</v>
      </c>
      <c r="I6" s="16">
        <f ca="1">IFERROR(_xlfn.RANK.EQ(H6,H:H),"")</f>
        <v>2</v>
      </c>
      <c r="J6" s="22">
        <f t="shared" ca="1" si="0"/>
        <v>2090</v>
      </c>
      <c r="K6" s="16">
        <f ca="1">IFERROR(_xlfn.RANK.EQ(J6,J:J),"")</f>
        <v>5</v>
      </c>
      <c r="L6" s="16"/>
    </row>
    <row r="7" spans="1:14" ht="14.5" x14ac:dyDescent="0.35">
      <c r="A7" s="16">
        <f ca="1">IFERROR(__xludf.dummyfunction("""COMPUTED_VALUE"""),112)</f>
        <v>112</v>
      </c>
      <c r="B7" s="5" t="str">
        <f ca="1">IFERROR(__xludf.dummyfunction("""COMPUTED_VALUE"""),"Lilly Wilkinson")</f>
        <v>Lilly Wilkinson</v>
      </c>
      <c r="C7" s="5" t="str">
        <f ca="1">IFERROR(__xludf.dummyfunction("""COMPUTED_VALUE"""),"Bootham School")</f>
        <v>Bootham School</v>
      </c>
      <c r="D7" s="16" t="s">
        <v>269</v>
      </c>
      <c r="E7" s="22">
        <f ca="1">IFERROR(__xludf.dummyfunction("iferror(1000+INT(($N$2-(index(split(D3,"":""),1)*60+index(split(D3,"":""),2 )))/0.2+1)*$N$3,"""")"),1052)</f>
        <v>1052</v>
      </c>
      <c r="F7" s="16">
        <f ca="1">IFERROR(_xlfn.RANK.EQ(E7,E:E),"")</f>
        <v>5</v>
      </c>
      <c r="G7" s="16" t="s">
        <v>270</v>
      </c>
      <c r="H7" s="22">
        <f ca="1">IFERROR(__xludf.dummyfunction("iferror(1000+INT(($N$4-(index(split(G3,"":""),1)*60+index(split(G3,"":""),2 )))/0.2+1)*$N$5,"""")"),1014)</f>
        <v>1014</v>
      </c>
      <c r="I7" s="16">
        <f ca="1">IFERROR(_xlfn.RANK.EQ(H7,H:H),"")</f>
        <v>5</v>
      </c>
      <c r="J7" s="22">
        <f t="shared" ca="1" si="0"/>
        <v>2066</v>
      </c>
      <c r="K7" s="16">
        <f ca="1">IFERROR(_xlfn.RANK.EQ(J7,J:J),"")</f>
        <v>6</v>
      </c>
      <c r="L7" s="16"/>
    </row>
    <row r="8" spans="1:14" ht="14.5" x14ac:dyDescent="0.35">
      <c r="A8" s="16">
        <f ca="1">IFERROR(__xludf.dummyfunction("""COMPUTED_VALUE"""),124)</f>
        <v>124</v>
      </c>
      <c r="B8" s="5" t="str">
        <f ca="1">IFERROR(__xludf.dummyfunction("""COMPUTED_VALUE"""),"Arabella Shah")</f>
        <v>Arabella Shah</v>
      </c>
      <c r="C8" s="5" t="str">
        <f ca="1">IFERROR(__xludf.dummyfunction("""COMPUTED_VALUE"""),"Newcastle Under Lyme School")</f>
        <v>Newcastle Under Lyme School</v>
      </c>
      <c r="D8" s="16" t="s">
        <v>287</v>
      </c>
      <c r="E8" s="22">
        <f ca="1">IFERROR(__xludf.dummyfunction("iferror(1000+INT(($N$2-(index(split(D15,"":""),1)*60+index(split(D15,"":""),2 )))/0.2+1)*$N$3,"""")"),1012)</f>
        <v>1012</v>
      </c>
      <c r="F8" s="16">
        <f ca="1">IFERROR(_xlfn.RANK.EQ(E8,E:E),"")</f>
        <v>7</v>
      </c>
      <c r="G8" s="16" t="s">
        <v>288</v>
      </c>
      <c r="H8" s="22">
        <f ca="1">IFERROR(__xludf.dummyfunction("iferror(1000+INT(($N$4-(index(split(G15,"":""),1)*60+index(split(G15,"":""),2 )))/0.2+1)*$N$5,"""")"),816)</f>
        <v>816</v>
      </c>
      <c r="I8" s="16">
        <f ca="1">IFERROR(_xlfn.RANK.EQ(H8,H:H),"")</f>
        <v>7</v>
      </c>
      <c r="J8" s="22">
        <f t="shared" ca="1" si="0"/>
        <v>1828</v>
      </c>
      <c r="K8" s="16">
        <f ca="1">IFERROR(_xlfn.RANK.EQ(J8,J:J),"")</f>
        <v>7</v>
      </c>
      <c r="L8" s="16"/>
    </row>
    <row r="9" spans="1:14" ht="14.5" x14ac:dyDescent="0.35">
      <c r="A9" s="16">
        <f ca="1">IFERROR(__xludf.dummyfunction("""COMPUTED_VALUE"""),116)</f>
        <v>116</v>
      </c>
      <c r="B9" s="5" t="str">
        <f ca="1">IFERROR(__xludf.dummyfunction("""COMPUTED_VALUE"""),"Sophie McCaffery")</f>
        <v>Sophie McCaffery</v>
      </c>
      <c r="C9" s="5" t="str">
        <f ca="1">IFERROR(__xludf.dummyfunction("""COMPUTED_VALUE"""),"Lancaster Girls Grammar School")</f>
        <v>Lancaster Girls Grammar School</v>
      </c>
      <c r="D9" s="16" t="s">
        <v>275</v>
      </c>
      <c r="E9" s="22">
        <f ca="1">IFERROR(__xludf.dummyfunction("iferror(1000+INT(($N$2-(index(split(D7,"":""),1)*60+index(split(D7,"":""),2 )))/0.2+1)*$N$3,"""")"),1032)</f>
        <v>1032</v>
      </c>
      <c r="F9" s="16">
        <f ca="1">IFERROR(_xlfn.RANK.EQ(E9,E:E),"")</f>
        <v>6</v>
      </c>
      <c r="G9" s="16" t="s">
        <v>276</v>
      </c>
      <c r="H9" s="22">
        <f ca="1">IFERROR(__xludf.dummyfunction("iferror(1000+INT(($N$4-(index(split(G7,"":""),1)*60+index(split(G7,"":""),2 )))/0.2+1)*$N$5,"""")"),708)</f>
        <v>708</v>
      </c>
      <c r="I9" s="16">
        <f ca="1">IFERROR(_xlfn.RANK.EQ(H9,H:H),"")</f>
        <v>9</v>
      </c>
      <c r="J9" s="22">
        <f t="shared" ca="1" si="0"/>
        <v>1740</v>
      </c>
      <c r="K9" s="16">
        <f ca="1">IFERROR(_xlfn.RANK.EQ(J9,J:J),"")</f>
        <v>8</v>
      </c>
      <c r="L9" s="16"/>
    </row>
    <row r="10" spans="1:14" ht="14.5" x14ac:dyDescent="0.35">
      <c r="A10" s="16">
        <f ca="1">IFERROR(__xludf.dummyfunction("""COMPUTED_VALUE"""),125)</f>
        <v>125</v>
      </c>
      <c r="B10" s="5" t="str">
        <f ca="1">IFERROR(__xludf.dummyfunction("""COMPUTED_VALUE"""),"Lucy Ribchester")</f>
        <v>Lucy Ribchester</v>
      </c>
      <c r="C10" s="5" t="str">
        <f ca="1">IFERROR(__xludf.dummyfunction("""COMPUTED_VALUE"""),"Durham Johnston Comprehensive")</f>
        <v>Durham Johnston Comprehensive</v>
      </c>
      <c r="D10" s="16" t="s">
        <v>289</v>
      </c>
      <c r="E10" s="22">
        <f ca="1">IFERROR(__xludf.dummyfunction("iferror(1000+INT(($N$2-(index(split(D16,"":""),1)*60+index(split(D16,"":""),2 )))/0.2+1)*$N$3,"""")"),876)</f>
        <v>876</v>
      </c>
      <c r="F10" s="16">
        <f ca="1">IFERROR(_xlfn.RANK.EQ(E10,E:E),"")</f>
        <v>8</v>
      </c>
      <c r="G10" s="16" t="s">
        <v>290</v>
      </c>
      <c r="H10" s="22">
        <f ca="1">IFERROR(__xludf.dummyfunction("iferror(1000+INT(($N$4-(index(split(G16,"":""),1)*60+index(split(G16,"":""),2 )))/0.2+1)*$N$5,"""")"),743)</f>
        <v>743</v>
      </c>
      <c r="I10" s="16">
        <f ca="1">IFERROR(_xlfn.RANK.EQ(H10,H:H),"")</f>
        <v>8</v>
      </c>
      <c r="J10" s="22">
        <f t="shared" ca="1" si="0"/>
        <v>1619</v>
      </c>
      <c r="K10" s="16">
        <f ca="1">IFERROR(_xlfn.RANK.EQ(J10,J:J),"")</f>
        <v>9</v>
      </c>
      <c r="L10" s="16"/>
    </row>
    <row r="11" spans="1:14" ht="14.5" x14ac:dyDescent="0.35">
      <c r="A11" s="16">
        <f ca="1">IFERROR(__xludf.dummyfunction("""COMPUTED_VALUE"""),118)</f>
        <v>118</v>
      </c>
      <c r="B11" s="5" t="str">
        <f ca="1">IFERROR(__xludf.dummyfunction("""COMPUTED_VALUE"""),"Esme Robinson")</f>
        <v>Esme Robinson</v>
      </c>
      <c r="C11" s="5" t="str">
        <f ca="1">IFERROR(__xludf.dummyfunction("""COMPUTED_VALUE"""),"St James CE Secondary School &amp; Sports College")</f>
        <v>St James CE Secondary School &amp; Sports College</v>
      </c>
      <c r="D11" s="16" t="s">
        <v>277</v>
      </c>
      <c r="E11" s="22">
        <f ca="1">IFERROR(__xludf.dummyfunction("iferror(1000+INT(($N$2-(index(split(D9,"":""),1)*60+index(split(D9,"":""),2 )))/0.2+1)*$N$3,"""")"),788)</f>
        <v>788</v>
      </c>
      <c r="F11" s="16">
        <f ca="1">IFERROR(_xlfn.RANK.EQ(E11,E:E),"")</f>
        <v>11</v>
      </c>
      <c r="G11" s="16" t="s">
        <v>278</v>
      </c>
      <c r="H11" s="22">
        <f ca="1">IFERROR(__xludf.dummyfunction("iferror(1000+INT(($N$4-(index(split(G9,"":""),1)*60+index(split(G9,"":""),2 )))/0.2+1)*$N$5,"""")"),583)</f>
        <v>583</v>
      </c>
      <c r="I11" s="16">
        <f ca="1">IFERROR(_xlfn.RANK.EQ(H11,H:H),"")</f>
        <v>11</v>
      </c>
      <c r="J11" s="22">
        <f t="shared" ca="1" si="0"/>
        <v>1371</v>
      </c>
      <c r="K11" s="16">
        <f ca="1">IFERROR(_xlfn.RANK.EQ(J11,J:J),"")</f>
        <v>10</v>
      </c>
      <c r="L11" s="16"/>
    </row>
    <row r="12" spans="1:14" ht="14.5" x14ac:dyDescent="0.35">
      <c r="A12" s="16">
        <f ca="1">IFERROR(__xludf.dummyfunction("""COMPUTED_VALUE"""),115)</f>
        <v>115</v>
      </c>
      <c r="B12" s="5" t="str">
        <f ca="1">IFERROR(__xludf.dummyfunction("""COMPUTED_VALUE"""),"Finja Sophie Weinzierl")</f>
        <v>Finja Sophie Weinzierl</v>
      </c>
      <c r="C12" s="5" t="str">
        <f ca="1">IFERROR(__xludf.dummyfunction("""COMPUTED_VALUE"""),"Durham Johnston Comprehensive")</f>
        <v>Durham Johnston Comprehensive</v>
      </c>
      <c r="D12" s="16" t="s">
        <v>273</v>
      </c>
      <c r="E12" s="22">
        <f ca="1">IFERROR(__xludf.dummyfunction("iferror(1000+INT(($N$2-(index(split(D6,"":""),1)*60+index(split(D6,"":""),2 )))/0.2+1)*$N$3,"""")"),620)</f>
        <v>620</v>
      </c>
      <c r="F12" s="16">
        <f ca="1">IFERROR(_xlfn.RANK.EQ(E12,E:E),"")</f>
        <v>12</v>
      </c>
      <c r="G12" s="16" t="s">
        <v>274</v>
      </c>
      <c r="H12" s="22">
        <f ca="1">IFERROR(__xludf.dummyfunction("iferror(1000+INT(($N$4-(index(split(G6,"":""),1)*60+index(split(G6,"":""),2 )))/0.2+1)*$N$5,"""")"),589)</f>
        <v>589</v>
      </c>
      <c r="I12" s="16">
        <f ca="1">IFERROR(_xlfn.RANK.EQ(H12,H:H),"")</f>
        <v>10</v>
      </c>
      <c r="J12" s="22">
        <f t="shared" ca="1" si="0"/>
        <v>1209</v>
      </c>
      <c r="K12" s="16">
        <f ca="1">IFERROR(_xlfn.RANK.EQ(J12,J:J),"")</f>
        <v>11</v>
      </c>
      <c r="L12" s="16"/>
    </row>
    <row r="13" spans="1:14" ht="14.5" x14ac:dyDescent="0.35">
      <c r="A13" s="16">
        <f ca="1">IFERROR(__xludf.dummyfunction("""COMPUTED_VALUE"""),113)</f>
        <v>113</v>
      </c>
      <c r="B13" s="5" t="str">
        <f ca="1">IFERROR(__xludf.dummyfunction("""COMPUTED_VALUE"""),"Sophie Wilcox")</f>
        <v>Sophie Wilcox</v>
      </c>
      <c r="C13" s="5" t="str">
        <f ca="1">IFERROR(__xludf.dummyfunction("""COMPUTED_VALUE"""),"Ripley St Thomas CE Academy")</f>
        <v>Ripley St Thomas CE Academy</v>
      </c>
      <c r="D13" s="16" t="s">
        <v>271</v>
      </c>
      <c r="E13" s="22">
        <f ca="1">IFERROR(__xludf.dummyfunction("iferror(1000+INT(($N$2-(index(split(D4,"":""),1)*60+index(split(D4,"":""),2 )))/0.2+1)*$N$3,"""")"),828)</f>
        <v>828</v>
      </c>
      <c r="F13" s="16">
        <f ca="1">IFERROR(_xlfn.RANK.EQ(E13,E:E),"")</f>
        <v>10</v>
      </c>
      <c r="G13" s="16" t="s">
        <v>272</v>
      </c>
      <c r="H13" s="22">
        <f ca="1">IFERROR(__xludf.dummyfunction("iferror(1000+INT(($N$4-(index(split(G4,"":""),1)*60+index(split(G4,"":""),2 )))/0.2+1)*$N$5,"""")"),369)</f>
        <v>369</v>
      </c>
      <c r="I13" s="16">
        <f ca="1">IFERROR(_xlfn.RANK.EQ(H13,H:H),"")</f>
        <v>13</v>
      </c>
      <c r="J13" s="22">
        <f t="shared" ca="1" si="0"/>
        <v>1197</v>
      </c>
      <c r="K13" s="16">
        <f ca="1">IFERROR(_xlfn.RANK.EQ(J13,J:J),"")</f>
        <v>12</v>
      </c>
      <c r="L13" s="16"/>
    </row>
    <row r="14" spans="1:14" ht="14.5" x14ac:dyDescent="0.35">
      <c r="A14" s="28">
        <f ca="1">IFERROR(__xludf.dummyfunction("""COMPUTED_VALUE"""),114)</f>
        <v>114</v>
      </c>
      <c r="B14" s="31" t="str">
        <f ca="1">IFERROR(__xludf.dummyfunction("""COMPUTED_VALUE"""),"Esmé Cameron")</f>
        <v>Esmé Cameron</v>
      </c>
      <c r="C14" s="29" t="str">
        <f ca="1">IFERROR(__xludf.dummyfunction("""COMPUTED_VALUE"""),"St Edwards College (Secondary)")</f>
        <v>St Edwards College (Secondary)</v>
      </c>
      <c r="D14" s="28"/>
      <c r="E14" s="30" t="str">
        <f ca="1">IFERROR(__xludf.dummyfunction("iferror(1000+INT(($N$2-(index(split(D5,"":""),1)*60+index(split(D5,"":""),2 )))/0.2+1)*$N$3,"""")"),"")</f>
        <v/>
      </c>
      <c r="F14" s="28" t="str">
        <f ca="1">IFERROR(_xlfn.RANK.EQ(E14,E:E),"")</f>
        <v/>
      </c>
      <c r="G14" s="28"/>
      <c r="H14" s="30" t="str">
        <f ca="1">IFERROR(__xludf.dummyfunction("iferror(1000+INT(($N$4-(index(split(G5,"":""),1)*60+index(split(G5,"":""),2 )))/0.2+1)*$N$5,"""")"),"")</f>
        <v/>
      </c>
      <c r="I14" s="28" t="str">
        <f ca="1">IFERROR(_xlfn.RANK.EQ(H14,H:H),"")</f>
        <v/>
      </c>
      <c r="J14" s="30" t="str">
        <f t="shared" si="0"/>
        <v/>
      </c>
      <c r="K14" s="28" t="s">
        <v>444</v>
      </c>
      <c r="L14" s="16"/>
    </row>
    <row r="15" spans="1:14" ht="14.5" x14ac:dyDescent="0.35">
      <c r="A15" s="28">
        <f ca="1">IFERROR(__xludf.dummyfunction("""COMPUTED_VALUE"""),117)</f>
        <v>117</v>
      </c>
      <c r="B15" s="29" t="str">
        <f ca="1">IFERROR(__xludf.dummyfunction("""COMPUTED_VALUE"""),"Elsa Thomson")</f>
        <v>Elsa Thomson</v>
      </c>
      <c r="C15" s="29" t="str">
        <f ca="1">IFERROR(__xludf.dummyfunction("""COMPUTED_VALUE"""),"Bishop Rawstorne CE Language College")</f>
        <v>Bishop Rawstorne CE Language College</v>
      </c>
      <c r="D15" s="32"/>
      <c r="E15" s="30" t="str">
        <f ca="1">IFERROR(__xludf.dummyfunction("iferror(1000+INT(($N$2-(index(split(D8,"":""),1)*60+index(split(D8,"":""),2 )))/0.2+1)*$N$3,"""")"),"")</f>
        <v/>
      </c>
      <c r="F15" s="28" t="str">
        <f ca="1">IFERROR(_xlfn.RANK.EQ(E15,E:E),"")</f>
        <v/>
      </c>
      <c r="G15" s="28"/>
      <c r="H15" s="30" t="str">
        <f ca="1">IFERROR(__xludf.dummyfunction("iferror(1000+INT(($N$4-(index(split(G8,"":""),1)*60+index(split(G8,"":""),2 )))/0.2+1)*$N$5,"""")"),"")</f>
        <v/>
      </c>
      <c r="I15" s="28" t="str">
        <f ca="1">IFERROR(_xlfn.RANK.EQ(H15,H:H),"")</f>
        <v/>
      </c>
      <c r="J15" s="30" t="str">
        <f t="shared" si="0"/>
        <v/>
      </c>
      <c r="K15" s="28" t="s">
        <v>444</v>
      </c>
      <c r="L15" s="16"/>
    </row>
    <row r="16" spans="1:14" ht="14.5" x14ac:dyDescent="0.35">
      <c r="A16" s="28">
        <f ca="1">IFERROR(__xludf.dummyfunction("""COMPUTED_VALUE"""),119)</f>
        <v>119</v>
      </c>
      <c r="B16" s="29" t="str">
        <f ca="1">IFERROR(__xludf.dummyfunction("""COMPUTED_VALUE"""),"Molly Forrester")</f>
        <v>Molly Forrester</v>
      </c>
      <c r="C16" s="29" t="str">
        <f ca="1">IFERROR(__xludf.dummyfunction("""COMPUTED_VALUE"""),"Endon High School")</f>
        <v>Endon High School</v>
      </c>
      <c r="D16" s="28"/>
      <c r="E16" s="30" t="str">
        <f ca="1">IFERROR(__xludf.dummyfunction("iferror(1000+INT(($N$2-(index(split(D10,"":""),1)*60+index(split(D10,"":""),2 )))/0.2+1)*$N$3,"""")"),"")</f>
        <v/>
      </c>
      <c r="F16" s="28" t="str">
        <f ca="1">IFERROR(_xlfn.RANK.EQ(E16,E:E),"")</f>
        <v/>
      </c>
      <c r="G16" s="28"/>
      <c r="H16" s="30" t="str">
        <f ca="1">IFERROR(__xludf.dummyfunction("iferror(1000+INT(($N$4-(index(split(G10,"":""),1)*60+index(split(G10,"":""),2 )))/0.2+1)*$N$5,"""")"),"")</f>
        <v/>
      </c>
      <c r="I16" s="28" t="str">
        <f ca="1">IFERROR(_xlfn.RANK.EQ(H16,H:H),"")</f>
        <v/>
      </c>
      <c r="J16" s="30" t="str">
        <f t="shared" si="0"/>
        <v/>
      </c>
      <c r="K16" s="28" t="s">
        <v>444</v>
      </c>
      <c r="L16" s="16"/>
    </row>
    <row r="17" spans="1:12" ht="14.5" x14ac:dyDescent="0.35">
      <c r="A17" s="28">
        <f ca="1">IFERROR(__xludf.dummyfunction("""COMPUTED_VALUE"""),199)</f>
        <v>199</v>
      </c>
      <c r="B17" s="29" t="str">
        <f ca="1">IFERROR(__xludf.dummyfunction("""COMPUTED_VALUE"""),"Eloise Murtha")</f>
        <v>Eloise Murtha</v>
      </c>
      <c r="C17" s="29" t="str">
        <f ca="1">IFERROR(__xludf.dummyfunction("""COMPUTED_VALUE"""),"Lancaster Girls Grammer School")</f>
        <v>Lancaster Girls Grammer School</v>
      </c>
      <c r="D17" s="28"/>
      <c r="E17" s="30" t="str">
        <f ca="1">IFERROR(__xludf.dummyfunction("iferror(1000+INT(($N$2-(index(split(D17,"":""),1)*60+index(split(D17,"":""),2 )))/0.2+1)*$N$3,"""")"),"")</f>
        <v/>
      </c>
      <c r="F17" s="28" t="str">
        <f ca="1">IFERROR(_xlfn.RANK.EQ(E17,E:E),"")</f>
        <v/>
      </c>
      <c r="G17" s="28" t="s">
        <v>291</v>
      </c>
      <c r="H17" s="30">
        <f ca="1">IFERROR(__xludf.dummyfunction("iferror(1000+INT(($N$4-(index(split(G17,"":""),1)*60+index(split(G17,"":""),2 )))/0.2+1)*$N$5,"""")"),475)</f>
        <v>475</v>
      </c>
      <c r="I17" s="28">
        <f ca="1">IFERROR(_xlfn.RANK.EQ(H17,H:H),"")</f>
        <v>12</v>
      </c>
      <c r="J17" s="30">
        <v>475</v>
      </c>
      <c r="K17" s="28" t="s">
        <v>447</v>
      </c>
      <c r="L17" s="16"/>
    </row>
    <row r="18" spans="1:12" ht="14.5" x14ac:dyDescent="0.35">
      <c r="A18" s="16"/>
      <c r="B18" s="16"/>
      <c r="C18" s="16"/>
      <c r="D18" s="16"/>
      <c r="E18" s="22" t="str">
        <f ca="1">IFERROR(__xludf.dummyfunction("iferror(1000+INT(($N$2-(index(split(D18,"":""),1)*60+index(split(D18,"":""),2 )))/0.2+1)*$N$3,"""")"),"")</f>
        <v/>
      </c>
      <c r="F18" s="16" t="str">
        <f t="shared" ref="F2:F33" ca="1" si="1">IFERROR(_xlfn.RANK.EQ(E18,E:E),"")</f>
        <v/>
      </c>
      <c r="G18" s="16"/>
      <c r="H18" s="22" t="str">
        <f ca="1">IFERROR(__xludf.dummyfunction("iferror(1000+INT(($N$4-(index(split(G18,"":""),1)*60+index(split(G18,"":""),2 )))/0.2+1)*$N$5,"""")"),"")</f>
        <v/>
      </c>
      <c r="I18" s="16" t="str">
        <f t="shared" ref="I2:I33" ca="1" si="2">IFERROR(_xlfn.RANK.EQ(H18,H:H),"")</f>
        <v/>
      </c>
      <c r="J18" s="22" t="str">
        <f t="shared" si="0"/>
        <v/>
      </c>
      <c r="K18" s="16" t="str">
        <f t="shared" ref="K2:K33" si="3">IFERROR(_xlfn.RANK.EQ(J18,J:J),"")</f>
        <v/>
      </c>
      <c r="L18" s="16"/>
    </row>
    <row r="19" spans="1:12" ht="14.5" x14ac:dyDescent="0.35">
      <c r="A19" s="16"/>
      <c r="B19" s="16"/>
      <c r="C19" s="16"/>
      <c r="D19" s="16"/>
      <c r="E19" s="22" t="str">
        <f ca="1">IFERROR(__xludf.dummyfunction("iferror(1000+INT(($N$2-(index(split(D19,"":""),1)*60+index(split(D19,"":""),2 )))/0.2+1)*$N$3,"""")"),"")</f>
        <v/>
      </c>
      <c r="F19" s="16" t="str">
        <f t="shared" ca="1" si="1"/>
        <v/>
      </c>
      <c r="G19" s="16"/>
      <c r="H19" s="22" t="str">
        <f ca="1">IFERROR(__xludf.dummyfunction("iferror(1000+INT(($N$4-(index(split(G19,"":""),1)*60+index(split(G19,"":""),2 )))/0.2+1)*$N$5,"""")"),"")</f>
        <v/>
      </c>
      <c r="I19" s="16" t="str">
        <f t="shared" ca="1" si="2"/>
        <v/>
      </c>
      <c r="J19" s="22" t="str">
        <f t="shared" si="0"/>
        <v/>
      </c>
      <c r="K19" s="16" t="str">
        <f t="shared" si="3"/>
        <v/>
      </c>
      <c r="L19" s="16"/>
    </row>
    <row r="20" spans="1:12" ht="14.5" x14ac:dyDescent="0.35">
      <c r="A20" s="16"/>
      <c r="B20" s="16"/>
      <c r="C20" s="16"/>
      <c r="D20" s="16"/>
      <c r="E20" s="22" t="str">
        <f ca="1">IFERROR(__xludf.dummyfunction("iferror(1000+INT(($N$2-(index(split(D20,"":""),1)*60+index(split(D20,"":""),2 )))/0.2+1)*$N$3,"""")"),"")</f>
        <v/>
      </c>
      <c r="F20" s="16" t="str">
        <f t="shared" ca="1" si="1"/>
        <v/>
      </c>
      <c r="G20" s="16"/>
      <c r="H20" s="22" t="str">
        <f ca="1">IFERROR(__xludf.dummyfunction("iferror(1000+INT(($N$4-(index(split(G20,"":""),1)*60+index(split(G20,"":""),2 )))/0.2+1)*$N$5,"""")"),"")</f>
        <v/>
      </c>
      <c r="I20" s="16" t="str">
        <f t="shared" ca="1" si="2"/>
        <v/>
      </c>
      <c r="J20" s="22" t="str">
        <f t="shared" si="0"/>
        <v/>
      </c>
      <c r="K20" s="16" t="str">
        <f t="shared" si="3"/>
        <v/>
      </c>
      <c r="L20" s="16"/>
    </row>
    <row r="21" spans="1:12" ht="14.5" x14ac:dyDescent="0.35">
      <c r="A21" s="16"/>
      <c r="B21" s="16"/>
      <c r="C21" s="16"/>
      <c r="D21" s="16"/>
      <c r="E21" s="22" t="str">
        <f ca="1">IFERROR(__xludf.dummyfunction("iferror(1000+INT(($N$2-(index(split(D21,"":""),1)*60+index(split(D21,"":""),2 )))/0.2+1)*$N$3,"""")"),"")</f>
        <v/>
      </c>
      <c r="F21" s="16" t="str">
        <f t="shared" ca="1" si="1"/>
        <v/>
      </c>
      <c r="G21" s="16"/>
      <c r="H21" s="22" t="str">
        <f ca="1">IFERROR(__xludf.dummyfunction("iferror(1000+INT(($N$4-(index(split(G21,"":""),1)*60+index(split(G21,"":""),2 )))/0.2+1)*$N$5,"""")"),"")</f>
        <v/>
      </c>
      <c r="I21" s="16" t="str">
        <f t="shared" ca="1" si="2"/>
        <v/>
      </c>
      <c r="J21" s="22" t="str">
        <f t="shared" si="0"/>
        <v/>
      </c>
      <c r="K21" s="16" t="str">
        <f t="shared" si="3"/>
        <v/>
      </c>
      <c r="L21" s="16"/>
    </row>
    <row r="22" spans="1:12" ht="14.5" x14ac:dyDescent="0.35">
      <c r="A22" s="16"/>
      <c r="B22" s="16"/>
      <c r="C22" s="16"/>
      <c r="D22" s="16"/>
      <c r="E22" s="22" t="str">
        <f ca="1">IFERROR(__xludf.dummyfunction("iferror(1000+INT(($N$2-(index(split(D22,"":""),1)*60+index(split(D22,"":""),2 )))/0.2+1)*$N$3,"""")"),"")</f>
        <v/>
      </c>
      <c r="F22" s="16" t="str">
        <f t="shared" ca="1" si="1"/>
        <v/>
      </c>
      <c r="G22" s="16"/>
      <c r="H22" s="22" t="str">
        <f ca="1">IFERROR(__xludf.dummyfunction("iferror(1000+INT(($N$4-(index(split(G22,"":""),1)*60+index(split(G22,"":""),2 )))/0.2+1)*$N$5,"""")"),"")</f>
        <v/>
      </c>
      <c r="I22" s="16" t="str">
        <f t="shared" ca="1" si="2"/>
        <v/>
      </c>
      <c r="J22" s="22" t="str">
        <f t="shared" si="0"/>
        <v/>
      </c>
      <c r="K22" s="16" t="str">
        <f t="shared" si="3"/>
        <v/>
      </c>
      <c r="L22" s="16"/>
    </row>
    <row r="23" spans="1:12" ht="14.5" x14ac:dyDescent="0.35">
      <c r="A23" s="16"/>
      <c r="B23" s="16"/>
      <c r="C23" s="16"/>
      <c r="D23" s="16"/>
      <c r="E23" s="22" t="str">
        <f ca="1">IFERROR(__xludf.dummyfunction("iferror(1000+INT(($N$2-(index(split(D23,"":""),1)*60+index(split(D23,"":""),2 )))/0.2+1)*$N$3,"""")"),"")</f>
        <v/>
      </c>
      <c r="F23" s="16" t="str">
        <f t="shared" ca="1" si="1"/>
        <v/>
      </c>
      <c r="G23" s="16"/>
      <c r="H23" s="22" t="str">
        <f ca="1">IFERROR(__xludf.dummyfunction("iferror(1000+INT(($N$4-(index(split(G23,"":""),1)*60+index(split(G23,"":""),2 )))/0.2+1)*$N$5,"""")"),"")</f>
        <v/>
      </c>
      <c r="I23" s="16" t="str">
        <f t="shared" ca="1" si="2"/>
        <v/>
      </c>
      <c r="J23" s="22" t="str">
        <f t="shared" si="0"/>
        <v/>
      </c>
      <c r="K23" s="16" t="str">
        <f t="shared" si="3"/>
        <v/>
      </c>
      <c r="L23" s="16"/>
    </row>
    <row r="24" spans="1:12" ht="14.5" x14ac:dyDescent="0.35">
      <c r="A24" s="16"/>
      <c r="B24" s="16"/>
      <c r="C24" s="16"/>
      <c r="D24" s="16"/>
      <c r="E24" s="22" t="str">
        <f ca="1">IFERROR(__xludf.dummyfunction("iferror(1000+INT(($N$2-(index(split(D24,"":""),1)*60+index(split(D24,"":""),2 )))/0.2+1)*$N$3,"""")"),"")</f>
        <v/>
      </c>
      <c r="F24" s="16" t="str">
        <f t="shared" ca="1" si="1"/>
        <v/>
      </c>
      <c r="G24" s="16"/>
      <c r="H24" s="22" t="str">
        <f ca="1">IFERROR(__xludf.dummyfunction("iferror(1000+INT(($N$4-(index(split(G24,"":""),1)*60+index(split(G24,"":""),2 )))/0.2+1)*$N$5,"""")"),"")</f>
        <v/>
      </c>
      <c r="I24" s="16" t="str">
        <f t="shared" ca="1" si="2"/>
        <v/>
      </c>
      <c r="J24" s="22" t="str">
        <f t="shared" si="0"/>
        <v/>
      </c>
      <c r="K24" s="16" t="str">
        <f t="shared" si="3"/>
        <v/>
      </c>
      <c r="L24" s="16"/>
    </row>
    <row r="25" spans="1:12" ht="14.5" x14ac:dyDescent="0.35">
      <c r="A25" s="16"/>
      <c r="B25" s="16"/>
      <c r="C25" s="16"/>
      <c r="D25" s="16"/>
      <c r="E25" s="22" t="str">
        <f ca="1">IFERROR(__xludf.dummyfunction("iferror(1000+INT(($N$2-(index(split(D25,"":""),1)*60+index(split(D25,"":""),2 )))/0.2+1)*$N$3,"""")"),"")</f>
        <v/>
      </c>
      <c r="F25" s="16" t="str">
        <f t="shared" ca="1" si="1"/>
        <v/>
      </c>
      <c r="G25" s="16"/>
      <c r="H25" s="22" t="str">
        <f ca="1">IFERROR(__xludf.dummyfunction("iferror(1000+INT(($N$4-(index(split(G25,"":""),1)*60+index(split(G25,"":""),2 )))/0.2+1)*$N$5,"""")"),"")</f>
        <v/>
      </c>
      <c r="I25" s="16" t="str">
        <f t="shared" ca="1" si="2"/>
        <v/>
      </c>
      <c r="J25" s="22" t="str">
        <f t="shared" si="0"/>
        <v/>
      </c>
      <c r="K25" s="16" t="str">
        <f t="shared" si="3"/>
        <v/>
      </c>
      <c r="L25" s="16"/>
    </row>
    <row r="26" spans="1:12" ht="14.5" x14ac:dyDescent="0.35">
      <c r="A26" s="16"/>
      <c r="B26" s="16"/>
      <c r="C26" s="16"/>
      <c r="D26" s="16"/>
      <c r="E26" s="22" t="str">
        <f ca="1">IFERROR(__xludf.dummyfunction("iferror(1000+INT(($N$2-(index(split(D26,"":""),1)*60+index(split(D26,"":""),2 )))/0.2+1)*$N$3,"""")"),"")</f>
        <v/>
      </c>
      <c r="F26" s="16" t="str">
        <f t="shared" ca="1" si="1"/>
        <v/>
      </c>
      <c r="G26" s="16"/>
      <c r="H26" s="22" t="str">
        <f ca="1">IFERROR(__xludf.dummyfunction("iferror(1000+INT(($N$4-(index(split(G26,"":""),1)*60+index(split(G26,"":""),2 )))/0.2+1)*$N$5,"""")"),"")</f>
        <v/>
      </c>
      <c r="I26" s="16" t="str">
        <f t="shared" ca="1" si="2"/>
        <v/>
      </c>
      <c r="J26" s="22" t="str">
        <f t="shared" si="0"/>
        <v/>
      </c>
      <c r="K26" s="16" t="str">
        <f t="shared" si="3"/>
        <v/>
      </c>
      <c r="L26" s="16"/>
    </row>
    <row r="27" spans="1:12" ht="14.5" x14ac:dyDescent="0.35">
      <c r="A27" s="16"/>
      <c r="B27" s="16"/>
      <c r="C27" s="16"/>
      <c r="D27" s="16"/>
      <c r="E27" s="22" t="str">
        <f ca="1">IFERROR(__xludf.dummyfunction("iferror(1000+INT(($N$2-(index(split(D27,"":""),1)*60+index(split(D27,"":""),2 )))/0.2+1)*$N$3,"""")"),"")</f>
        <v/>
      </c>
      <c r="F27" s="16" t="str">
        <f t="shared" ca="1" si="1"/>
        <v/>
      </c>
      <c r="G27" s="16"/>
      <c r="H27" s="22" t="str">
        <f ca="1">IFERROR(__xludf.dummyfunction("iferror(1000+INT(($N$4-(index(split(G27,"":""),1)*60+index(split(G27,"":""),2 )))/0.2+1)*$N$5,"""")"),"")</f>
        <v/>
      </c>
      <c r="I27" s="16" t="str">
        <f t="shared" ca="1" si="2"/>
        <v/>
      </c>
      <c r="J27" s="22" t="str">
        <f t="shared" si="0"/>
        <v/>
      </c>
      <c r="K27" s="16" t="str">
        <f t="shared" si="3"/>
        <v/>
      </c>
      <c r="L27" s="16"/>
    </row>
    <row r="28" spans="1:12" ht="14.5" x14ac:dyDescent="0.35">
      <c r="A28" s="16"/>
      <c r="B28" s="16"/>
      <c r="C28" s="16"/>
      <c r="D28" s="16"/>
      <c r="E28" s="22" t="str">
        <f ca="1">IFERROR(__xludf.dummyfunction("iferror(1000+INT(($N$2-(index(split(D28,"":""),1)*60+index(split(D28,"":""),2 )))/0.2+1)*$N$3,"""")"),"")</f>
        <v/>
      </c>
      <c r="F28" s="16" t="str">
        <f t="shared" ca="1" si="1"/>
        <v/>
      </c>
      <c r="G28" s="16"/>
      <c r="H28" s="22" t="str">
        <f ca="1">IFERROR(__xludf.dummyfunction("iferror(1000+INT(($N$4-(index(split(G28,"":""),1)*60+index(split(G28,"":""),2 )))/0.2+1)*$N$5,"""")"),"")</f>
        <v/>
      </c>
      <c r="I28" s="16" t="str">
        <f t="shared" ca="1" si="2"/>
        <v/>
      </c>
      <c r="J28" s="22" t="str">
        <f t="shared" si="0"/>
        <v/>
      </c>
      <c r="K28" s="16" t="str">
        <f t="shared" si="3"/>
        <v/>
      </c>
      <c r="L28" s="16"/>
    </row>
    <row r="29" spans="1:12" ht="14.5" x14ac:dyDescent="0.35">
      <c r="A29" s="16"/>
      <c r="B29" s="16"/>
      <c r="C29" s="16"/>
      <c r="D29" s="16"/>
      <c r="E29" s="22" t="str">
        <f ca="1">IFERROR(__xludf.dummyfunction("iferror(1000+INT(($N$2-(index(split(D29,"":""),1)*60+index(split(D29,"":""),2 )))/0.2+1)*$N$3,"""")"),"")</f>
        <v/>
      </c>
      <c r="F29" s="16" t="str">
        <f t="shared" ca="1" si="1"/>
        <v/>
      </c>
      <c r="G29" s="16"/>
      <c r="H29" s="22" t="str">
        <f ca="1">IFERROR(__xludf.dummyfunction("iferror(1000+INT(($N$4-(index(split(G29,"":""),1)*60+index(split(G29,"":""),2 )))/0.2+1)*$N$5,"""")"),"")</f>
        <v/>
      </c>
      <c r="I29" s="16" t="str">
        <f t="shared" ca="1" si="2"/>
        <v/>
      </c>
      <c r="J29" s="22" t="str">
        <f t="shared" si="0"/>
        <v/>
      </c>
      <c r="K29" s="16" t="str">
        <f t="shared" si="3"/>
        <v/>
      </c>
      <c r="L29" s="16"/>
    </row>
    <row r="30" spans="1:12" ht="14.5" x14ac:dyDescent="0.35">
      <c r="A30" s="16"/>
      <c r="B30" s="16"/>
      <c r="C30" s="16"/>
      <c r="D30" s="16"/>
      <c r="E30" s="22" t="str">
        <f ca="1">IFERROR(__xludf.dummyfunction("iferror(1000+INT(($N$2-(index(split(D30,"":""),1)*60+index(split(D30,"":""),2 )))/0.2+1)*$N$3,"""")"),"")</f>
        <v/>
      </c>
      <c r="F30" s="16" t="str">
        <f t="shared" ca="1" si="1"/>
        <v/>
      </c>
      <c r="G30" s="16"/>
      <c r="H30" s="22" t="str">
        <f ca="1">IFERROR(__xludf.dummyfunction("iferror(1000+INT(($N$4-(index(split(G30,"":""),1)*60+index(split(G30,"":""),2 )))/0.2+1)*$N$5,"""")"),"")</f>
        <v/>
      </c>
      <c r="I30" s="16" t="str">
        <f t="shared" ca="1" si="2"/>
        <v/>
      </c>
      <c r="J30" s="22" t="str">
        <f t="shared" si="0"/>
        <v/>
      </c>
      <c r="K30" s="16" t="str">
        <f t="shared" si="3"/>
        <v/>
      </c>
      <c r="L30" s="16"/>
    </row>
    <row r="31" spans="1:12" ht="14.5" x14ac:dyDescent="0.35">
      <c r="A31" s="16"/>
      <c r="B31" s="16"/>
      <c r="C31" s="16"/>
      <c r="D31" s="16"/>
      <c r="E31" s="22" t="str">
        <f ca="1">IFERROR(__xludf.dummyfunction("iferror(1000+INT(($N$2-(index(split(D31,"":""),1)*60+index(split(D31,"":""),2 )))/0.2+1)*$N$3,"""")"),"")</f>
        <v/>
      </c>
      <c r="F31" s="16" t="str">
        <f t="shared" ca="1" si="1"/>
        <v/>
      </c>
      <c r="G31" s="16"/>
      <c r="H31" s="22" t="str">
        <f ca="1">IFERROR(__xludf.dummyfunction("iferror(1000+INT(($N$4-(index(split(G31,"":""),1)*60+index(split(G31,"":""),2 )))/0.2+1)*$N$5,"""")"),"")</f>
        <v/>
      </c>
      <c r="I31" s="16" t="str">
        <f t="shared" ca="1" si="2"/>
        <v/>
      </c>
      <c r="J31" s="22" t="str">
        <f t="shared" si="0"/>
        <v/>
      </c>
      <c r="K31" s="16" t="str">
        <f t="shared" si="3"/>
        <v/>
      </c>
      <c r="L31" s="16"/>
    </row>
    <row r="32" spans="1:12" ht="14.5" x14ac:dyDescent="0.35">
      <c r="A32" s="16"/>
      <c r="B32" s="16"/>
      <c r="C32" s="16"/>
      <c r="D32" s="16"/>
      <c r="E32" s="22" t="str">
        <f ca="1">IFERROR(__xludf.dummyfunction("iferror(1000+INT(($N$2-(index(split(D32,"":""),1)*60+index(split(D32,"":""),2 )))/0.2+1)*$N$3,"""")"),"")</f>
        <v/>
      </c>
      <c r="F32" s="16" t="str">
        <f t="shared" ca="1" si="1"/>
        <v/>
      </c>
      <c r="G32" s="16"/>
      <c r="H32" s="22" t="str">
        <f ca="1">IFERROR(__xludf.dummyfunction("iferror(1000+INT(($N$4-(index(split(G32,"":""),1)*60+index(split(G32,"":""),2 )))/0.2+1)*$N$5,"""")"),"")</f>
        <v/>
      </c>
      <c r="I32" s="16" t="str">
        <f t="shared" ca="1" si="2"/>
        <v/>
      </c>
      <c r="J32" s="22" t="str">
        <f t="shared" si="0"/>
        <v/>
      </c>
      <c r="K32" s="16" t="str">
        <f t="shared" si="3"/>
        <v/>
      </c>
      <c r="L32" s="16"/>
    </row>
    <row r="33" spans="1:12" ht="14.5" x14ac:dyDescent="0.35">
      <c r="A33" s="16"/>
      <c r="B33" s="16"/>
      <c r="C33" s="16"/>
      <c r="D33" s="16"/>
      <c r="E33" s="22" t="str">
        <f ca="1">IFERROR(__xludf.dummyfunction("iferror(1000+INT(($N$2-(index(split(D33,"":""),1)*60+index(split(D33,"":""),2 )))/0.2+1)*$N$3,"""")"),"")</f>
        <v/>
      </c>
      <c r="F33" s="16" t="str">
        <f t="shared" ca="1" si="1"/>
        <v/>
      </c>
      <c r="G33" s="16"/>
      <c r="H33" s="22" t="str">
        <f ca="1">IFERROR(__xludf.dummyfunction("iferror(1000+INT(($N$4-(index(split(G33,"":""),1)*60+index(split(G33,"":""),2 )))/0.2+1)*$N$5,"""")"),"")</f>
        <v/>
      </c>
      <c r="I33" s="16" t="str">
        <f t="shared" ca="1" si="2"/>
        <v/>
      </c>
      <c r="J33" s="22" t="str">
        <f t="shared" si="0"/>
        <v/>
      </c>
      <c r="K33" s="16" t="str">
        <f t="shared" si="3"/>
        <v/>
      </c>
      <c r="L33" s="16"/>
    </row>
    <row r="34" spans="1:12" ht="14.5" x14ac:dyDescent="0.35">
      <c r="A34" s="16"/>
      <c r="B34" s="16"/>
      <c r="C34" s="16"/>
      <c r="D34" s="16"/>
      <c r="E34" s="22" t="str">
        <f ca="1">IFERROR(__xludf.dummyfunction("iferror(1000+INT(($N$2-(index(split(D34,"":""),1)*60+index(split(D34,"":""),2 )))/0.2+1)*$N$3,"""")"),"")</f>
        <v/>
      </c>
      <c r="F34" s="16" t="str">
        <f t="shared" ref="F34:F65" ca="1" si="4">IFERROR(_xlfn.RANK.EQ(E34,E:E),"")</f>
        <v/>
      </c>
      <c r="G34" s="16"/>
      <c r="H34" s="22" t="str">
        <f ca="1">IFERROR(__xludf.dummyfunction("iferror(1000+INT(($N$4-(index(split(G34,"":""),1)*60+index(split(G34,"":""),2 )))/0.2+1)*$N$5,"""")"),"")</f>
        <v/>
      </c>
      <c r="I34" s="16" t="str">
        <f t="shared" ref="I34:I65" ca="1" si="5">IFERROR(_xlfn.RANK.EQ(H34,H:H),"")</f>
        <v/>
      </c>
      <c r="J34" s="22" t="str">
        <f t="shared" si="0"/>
        <v/>
      </c>
      <c r="K34" s="16" t="str">
        <f t="shared" ref="K34:K65" si="6">IFERROR(_xlfn.RANK.EQ(J34,J:J),"")</f>
        <v/>
      </c>
      <c r="L34" s="16"/>
    </row>
    <row r="35" spans="1:12" ht="14.5" x14ac:dyDescent="0.35">
      <c r="A35" s="16"/>
      <c r="B35" s="16"/>
      <c r="C35" s="16"/>
      <c r="D35" s="16"/>
      <c r="E35" s="22" t="str">
        <f ca="1">IFERROR(__xludf.dummyfunction("iferror(1000+INT(($N$2-(index(split(D35,"":""),1)*60+index(split(D35,"":""),2 )))/0.2+1)*$N$3,"""")"),"")</f>
        <v/>
      </c>
      <c r="F35" s="16" t="str">
        <f t="shared" ca="1" si="4"/>
        <v/>
      </c>
      <c r="G35" s="16"/>
      <c r="H35" s="22" t="str">
        <f ca="1">IFERROR(__xludf.dummyfunction("iferror(1000+INT(($N$4-(index(split(G35,"":""),1)*60+index(split(G35,"":""),2 )))/0.2+1)*$N$5,"""")"),"")</f>
        <v/>
      </c>
      <c r="I35" s="16" t="str">
        <f t="shared" ca="1" si="5"/>
        <v/>
      </c>
      <c r="J35" s="22" t="str">
        <f t="shared" si="0"/>
        <v/>
      </c>
      <c r="K35" s="16" t="str">
        <f t="shared" si="6"/>
        <v/>
      </c>
      <c r="L35" s="16"/>
    </row>
    <row r="36" spans="1:12" ht="14.5" x14ac:dyDescent="0.35">
      <c r="A36" s="16"/>
      <c r="B36" s="16"/>
      <c r="C36" s="16"/>
      <c r="D36" s="16"/>
      <c r="E36" s="22" t="str">
        <f ca="1">IFERROR(__xludf.dummyfunction("iferror(1000+INT(($N$2-(index(split(D36,"":""),1)*60+index(split(D36,"":""),2 )))/0.2+1)*$N$3,"""")"),"")</f>
        <v/>
      </c>
      <c r="F36" s="16" t="str">
        <f t="shared" ca="1" si="4"/>
        <v/>
      </c>
      <c r="G36" s="16"/>
      <c r="H36" s="22" t="str">
        <f ca="1">IFERROR(__xludf.dummyfunction("iferror(1000+INT(($N$4-(index(split(G36,"":""),1)*60+index(split(G36,"":""),2 )))/0.2+1)*$N$5,"""")"),"")</f>
        <v/>
      </c>
      <c r="I36" s="16" t="str">
        <f t="shared" ca="1" si="5"/>
        <v/>
      </c>
      <c r="J36" s="22" t="str">
        <f t="shared" si="0"/>
        <v/>
      </c>
      <c r="K36" s="16" t="str">
        <f t="shared" si="6"/>
        <v/>
      </c>
      <c r="L36" s="16"/>
    </row>
    <row r="37" spans="1:12" ht="14.5" x14ac:dyDescent="0.35">
      <c r="A37" s="16"/>
      <c r="B37" s="16"/>
      <c r="C37" s="16"/>
      <c r="D37" s="16"/>
      <c r="E37" s="22" t="str">
        <f ca="1">IFERROR(__xludf.dummyfunction("iferror(1000+INT(($N$2-(index(split(D37,"":""),1)*60+index(split(D37,"":""),2 )))/0.2+1)*$N$3,"""")"),"")</f>
        <v/>
      </c>
      <c r="F37" s="16" t="str">
        <f t="shared" ca="1" si="4"/>
        <v/>
      </c>
      <c r="G37" s="16"/>
      <c r="H37" s="22" t="str">
        <f ca="1">IFERROR(__xludf.dummyfunction("iferror(1000+INT(($N$4-(index(split(G37,"":""),1)*60+index(split(G37,"":""),2 )))/0.2+1)*$N$5,"""")"),"")</f>
        <v/>
      </c>
      <c r="I37" s="16" t="str">
        <f t="shared" ca="1" si="5"/>
        <v/>
      </c>
      <c r="J37" s="22" t="str">
        <f t="shared" si="0"/>
        <v/>
      </c>
      <c r="K37" s="16" t="str">
        <f t="shared" si="6"/>
        <v/>
      </c>
      <c r="L37" s="16"/>
    </row>
    <row r="38" spans="1:12" ht="14.5" x14ac:dyDescent="0.35">
      <c r="A38" s="16"/>
      <c r="B38" s="16"/>
      <c r="C38" s="16"/>
      <c r="D38" s="16"/>
      <c r="E38" s="22" t="str">
        <f ca="1">IFERROR(__xludf.dummyfunction("iferror(1000+INT(($N$2-(index(split(D38,"":""),1)*60+index(split(D38,"":""),2 )))/0.2+1)*$N$3,"""")"),"")</f>
        <v/>
      </c>
      <c r="F38" s="16" t="str">
        <f t="shared" ca="1" si="4"/>
        <v/>
      </c>
      <c r="G38" s="16"/>
      <c r="H38" s="22" t="str">
        <f ca="1">IFERROR(__xludf.dummyfunction("iferror(1000+INT(($N$4-(index(split(G38,"":""),1)*60+index(split(G38,"":""),2 )))/0.2+1)*$N$5,"""")"),"")</f>
        <v/>
      </c>
      <c r="I38" s="16" t="str">
        <f t="shared" ca="1" si="5"/>
        <v/>
      </c>
      <c r="J38" s="22" t="str">
        <f t="shared" si="0"/>
        <v/>
      </c>
      <c r="K38" s="16" t="str">
        <f t="shared" si="6"/>
        <v/>
      </c>
      <c r="L38" s="16"/>
    </row>
    <row r="39" spans="1:12" ht="14.5" x14ac:dyDescent="0.35">
      <c r="A39" s="16"/>
      <c r="B39" s="16"/>
      <c r="C39" s="16"/>
      <c r="D39" s="16"/>
      <c r="E39" s="22" t="str">
        <f ca="1">IFERROR(__xludf.dummyfunction("iferror(1000+INT(($N$2-(index(split(D39,"":""),1)*60+index(split(D39,"":""),2 )))/0.2+1)*$N$3,"""")"),"")</f>
        <v/>
      </c>
      <c r="F39" s="16" t="str">
        <f t="shared" ca="1" si="4"/>
        <v/>
      </c>
      <c r="G39" s="16"/>
      <c r="H39" s="22" t="str">
        <f ca="1">IFERROR(__xludf.dummyfunction("iferror(1000+INT(($N$4-(index(split(G39,"":""),1)*60+index(split(G39,"":""),2 )))/0.2+1)*$N$5,"""")"),"")</f>
        <v/>
      </c>
      <c r="I39" s="16" t="str">
        <f t="shared" ca="1" si="5"/>
        <v/>
      </c>
      <c r="J39" s="22" t="str">
        <f t="shared" si="0"/>
        <v/>
      </c>
      <c r="K39" s="16" t="str">
        <f t="shared" si="6"/>
        <v/>
      </c>
      <c r="L39" s="16"/>
    </row>
    <row r="40" spans="1:12" ht="14.5" x14ac:dyDescent="0.35">
      <c r="A40" s="16"/>
      <c r="B40" s="16"/>
      <c r="C40" s="16"/>
      <c r="D40" s="16"/>
      <c r="E40" s="22" t="str">
        <f ca="1">IFERROR(__xludf.dummyfunction("iferror(1000+INT(($N$2-(index(split(D40,"":""),1)*60+index(split(D40,"":""),2 )))/0.2+1)*$N$3,"""")"),"")</f>
        <v/>
      </c>
      <c r="F40" s="16" t="str">
        <f t="shared" ca="1" si="4"/>
        <v/>
      </c>
      <c r="G40" s="16"/>
      <c r="H40" s="22" t="str">
        <f ca="1">IFERROR(__xludf.dummyfunction("iferror(1000+INT(($N$4-(index(split(G40,"":""),1)*60+index(split(G40,"":""),2 )))/0.2+1)*$N$5,"""")"),"")</f>
        <v/>
      </c>
      <c r="I40" s="16" t="str">
        <f t="shared" ca="1" si="5"/>
        <v/>
      </c>
      <c r="J40" s="22" t="str">
        <f t="shared" si="0"/>
        <v/>
      </c>
      <c r="K40" s="16" t="str">
        <f t="shared" si="6"/>
        <v/>
      </c>
      <c r="L40" s="16"/>
    </row>
    <row r="41" spans="1:12" ht="14.5" x14ac:dyDescent="0.35">
      <c r="A41" s="16"/>
      <c r="B41" s="16"/>
      <c r="C41" s="16"/>
      <c r="D41" s="16"/>
      <c r="E41" s="22" t="str">
        <f ca="1">IFERROR(__xludf.dummyfunction("iferror(1000+INT(($N$2-(index(split(D41,"":""),1)*60+index(split(D41,"":""),2 )))/0.2+1)*$N$3,"""")"),"")</f>
        <v/>
      </c>
      <c r="F41" s="16" t="str">
        <f t="shared" ca="1" si="4"/>
        <v/>
      </c>
      <c r="G41" s="16"/>
      <c r="H41" s="22" t="str">
        <f ca="1">IFERROR(__xludf.dummyfunction("iferror(1000+INT(($N$4-(index(split(G41,"":""),1)*60+index(split(G41,"":""),2 )))/0.2+1)*$N$5,"""")"),"")</f>
        <v/>
      </c>
      <c r="I41" s="16" t="str">
        <f t="shared" ca="1" si="5"/>
        <v/>
      </c>
      <c r="J41" s="22" t="str">
        <f t="shared" si="0"/>
        <v/>
      </c>
      <c r="K41" s="16" t="str">
        <f t="shared" si="6"/>
        <v/>
      </c>
      <c r="L41" s="16"/>
    </row>
    <row r="42" spans="1:12" ht="14.5" x14ac:dyDescent="0.35">
      <c r="A42" s="16"/>
      <c r="B42" s="16"/>
      <c r="C42" s="16"/>
      <c r="D42" s="16"/>
      <c r="E42" s="22" t="str">
        <f ca="1">IFERROR(__xludf.dummyfunction("iferror(1000+INT(($N$2-(index(split(D42,"":""),1)*60+index(split(D42,"":""),2 )))/0.2+1)*$N$3,"""")"),"")</f>
        <v/>
      </c>
      <c r="F42" s="16" t="str">
        <f t="shared" ca="1" si="4"/>
        <v/>
      </c>
      <c r="G42" s="16"/>
      <c r="H42" s="22" t="str">
        <f ca="1">IFERROR(__xludf.dummyfunction("iferror(1000+INT(($N$4-(index(split(G42,"":""),1)*60+index(split(G42,"":""),2 )))/0.2+1)*$N$5,"""")"),"")</f>
        <v/>
      </c>
      <c r="I42" s="16" t="str">
        <f t="shared" ca="1" si="5"/>
        <v/>
      </c>
      <c r="J42" s="22" t="str">
        <f t="shared" si="0"/>
        <v/>
      </c>
      <c r="K42" s="16" t="str">
        <f t="shared" si="6"/>
        <v/>
      </c>
      <c r="L42" s="16"/>
    </row>
    <row r="43" spans="1:12" ht="14.5" x14ac:dyDescent="0.35">
      <c r="A43" s="16"/>
      <c r="B43" s="16"/>
      <c r="C43" s="16"/>
      <c r="D43" s="16"/>
      <c r="E43" s="22" t="str">
        <f ca="1">IFERROR(__xludf.dummyfunction("iferror(1000+INT(($N$2-(index(split(D43,"":""),1)*60+index(split(D43,"":""),2 )))/0.2+1)*$N$3,"""")"),"")</f>
        <v/>
      </c>
      <c r="F43" s="16" t="str">
        <f t="shared" ca="1" si="4"/>
        <v/>
      </c>
      <c r="G43" s="16"/>
      <c r="H43" s="22" t="str">
        <f ca="1">IFERROR(__xludf.dummyfunction("iferror(1000+INT(($N$4-(index(split(G43,"":""),1)*60+index(split(G43,"":""),2 )))/0.2+1)*$N$5,"""")"),"")</f>
        <v/>
      </c>
      <c r="I43" s="16" t="str">
        <f t="shared" ca="1" si="5"/>
        <v/>
      </c>
      <c r="J43" s="22" t="str">
        <f t="shared" si="0"/>
        <v/>
      </c>
      <c r="K43" s="16" t="str">
        <f t="shared" si="6"/>
        <v/>
      </c>
      <c r="L43" s="16"/>
    </row>
    <row r="44" spans="1:12" ht="14.5" x14ac:dyDescent="0.35">
      <c r="A44" s="16"/>
      <c r="B44" s="16"/>
      <c r="C44" s="16"/>
      <c r="D44" s="16"/>
      <c r="E44" s="22" t="str">
        <f ca="1">IFERROR(__xludf.dummyfunction("iferror(1000+INT(($N$2-(index(split(D44,"":""),1)*60+index(split(D44,"":""),2 )))/0.2+1)*$N$3,"""")"),"")</f>
        <v/>
      </c>
      <c r="F44" s="16" t="str">
        <f t="shared" ca="1" si="4"/>
        <v/>
      </c>
      <c r="G44" s="16"/>
      <c r="H44" s="22" t="str">
        <f ca="1">IFERROR(__xludf.dummyfunction("iferror(1000+INT(($N$4-(index(split(G44,"":""),1)*60+index(split(G44,"":""),2 )))/0.2+1)*$N$5,"""")"),"")</f>
        <v/>
      </c>
      <c r="I44" s="16" t="str">
        <f t="shared" ca="1" si="5"/>
        <v/>
      </c>
      <c r="J44" s="22" t="str">
        <f t="shared" si="0"/>
        <v/>
      </c>
      <c r="K44" s="16" t="str">
        <f t="shared" si="6"/>
        <v/>
      </c>
      <c r="L44" s="16"/>
    </row>
    <row r="45" spans="1:12" ht="14.5" x14ac:dyDescent="0.35">
      <c r="A45" s="16"/>
      <c r="B45" s="16"/>
      <c r="C45" s="16"/>
      <c r="D45" s="16"/>
      <c r="E45" s="22" t="str">
        <f ca="1">IFERROR(__xludf.dummyfunction("iferror(1000+INT(($N$2-(index(split(D45,"":""),1)*60+index(split(D45,"":""),2 )))/0.2+1)*$N$3,"""")"),"")</f>
        <v/>
      </c>
      <c r="F45" s="16" t="str">
        <f t="shared" ca="1" si="4"/>
        <v/>
      </c>
      <c r="G45" s="16"/>
      <c r="H45" s="22" t="str">
        <f ca="1">IFERROR(__xludf.dummyfunction("iferror(1000+INT(($N$4-(index(split(G45,"":""),1)*60+index(split(G45,"":""),2 )))/0.2+1)*$N$5,"""")"),"")</f>
        <v/>
      </c>
      <c r="I45" s="16" t="str">
        <f t="shared" ca="1" si="5"/>
        <v/>
      </c>
      <c r="J45" s="22" t="str">
        <f t="shared" si="0"/>
        <v/>
      </c>
      <c r="K45" s="16" t="str">
        <f t="shared" si="6"/>
        <v/>
      </c>
      <c r="L45" s="16"/>
    </row>
    <row r="46" spans="1:12" ht="14.5" x14ac:dyDescent="0.35">
      <c r="A46" s="16"/>
      <c r="B46" s="16"/>
      <c r="C46" s="16"/>
      <c r="D46" s="16"/>
      <c r="E46" s="22" t="str">
        <f ca="1">IFERROR(__xludf.dummyfunction("iferror(1000+INT(($N$2-(index(split(D46,"":""),1)*60+index(split(D46,"":""),2 )))/0.2+1)*$N$3,"""")"),"")</f>
        <v/>
      </c>
      <c r="F46" s="16" t="str">
        <f t="shared" ca="1" si="4"/>
        <v/>
      </c>
      <c r="G46" s="16"/>
      <c r="H46" s="22" t="str">
        <f ca="1">IFERROR(__xludf.dummyfunction("iferror(1000+INT(($N$4-(index(split(G46,"":""),1)*60+index(split(G46,"":""),2 )))/0.2+1)*$N$5,"""")"),"")</f>
        <v/>
      </c>
      <c r="I46" s="16" t="str">
        <f t="shared" ca="1" si="5"/>
        <v/>
      </c>
      <c r="J46" s="22" t="str">
        <f t="shared" si="0"/>
        <v/>
      </c>
      <c r="K46" s="16" t="str">
        <f t="shared" si="6"/>
        <v/>
      </c>
      <c r="L46" s="16"/>
    </row>
    <row r="47" spans="1:12" ht="14.5" x14ac:dyDescent="0.35">
      <c r="A47" s="16"/>
      <c r="B47" s="16"/>
      <c r="C47" s="16"/>
      <c r="D47" s="16"/>
      <c r="E47" s="22" t="str">
        <f ca="1">IFERROR(__xludf.dummyfunction("iferror(1000+INT(($N$2-(index(split(D47,"":""),1)*60+index(split(D47,"":""),2 )))/0.2+1)*$N$3,"""")"),"")</f>
        <v/>
      </c>
      <c r="F47" s="16" t="str">
        <f t="shared" ca="1" si="4"/>
        <v/>
      </c>
      <c r="G47" s="16"/>
      <c r="H47" s="22" t="str">
        <f ca="1">IFERROR(__xludf.dummyfunction("iferror(1000+INT(($N$4-(index(split(G47,"":""),1)*60+index(split(G47,"":""),2 )))/0.2+1)*$N$5,"""")"),"")</f>
        <v/>
      </c>
      <c r="I47" s="16" t="str">
        <f t="shared" ca="1" si="5"/>
        <v/>
      </c>
      <c r="J47" s="22" t="str">
        <f t="shared" si="0"/>
        <v/>
      </c>
      <c r="K47" s="16" t="str">
        <f t="shared" si="6"/>
        <v/>
      </c>
      <c r="L47" s="16"/>
    </row>
    <row r="48" spans="1:12" ht="14.5" x14ac:dyDescent="0.35">
      <c r="A48" s="16"/>
      <c r="B48" s="16"/>
      <c r="C48" s="16"/>
      <c r="D48" s="16"/>
      <c r="E48" s="22" t="str">
        <f ca="1">IFERROR(__xludf.dummyfunction("iferror(1000+INT(($N$2-(index(split(D48,"":""),1)*60+index(split(D48,"":""),2 )))/0.2+1)*$N$3,"""")"),"")</f>
        <v/>
      </c>
      <c r="F48" s="16" t="str">
        <f t="shared" ca="1" si="4"/>
        <v/>
      </c>
      <c r="G48" s="16"/>
      <c r="H48" s="22" t="str">
        <f ca="1">IFERROR(__xludf.dummyfunction("iferror(1000+INT(($N$4-(index(split(G48,"":""),1)*60+index(split(G48,"":""),2 )))/0.2+1)*$N$5,"""")"),"")</f>
        <v/>
      </c>
      <c r="I48" s="16" t="str">
        <f t="shared" ca="1" si="5"/>
        <v/>
      </c>
      <c r="J48" s="22" t="str">
        <f t="shared" si="0"/>
        <v/>
      </c>
      <c r="K48" s="16" t="str">
        <f t="shared" si="6"/>
        <v/>
      </c>
      <c r="L48" s="16"/>
    </row>
    <row r="49" spans="1:12" ht="14.5" x14ac:dyDescent="0.35">
      <c r="A49" s="16"/>
      <c r="B49" s="16"/>
      <c r="C49" s="16"/>
      <c r="D49" s="16"/>
      <c r="E49" s="22" t="str">
        <f ca="1">IFERROR(__xludf.dummyfunction("iferror(1000+INT(($N$2-(index(split(D49,"":""),1)*60+index(split(D49,"":""),2 )))/0.2+1)*$N$3,"""")"),"")</f>
        <v/>
      </c>
      <c r="F49" s="16" t="str">
        <f t="shared" ca="1" si="4"/>
        <v/>
      </c>
      <c r="G49" s="16"/>
      <c r="H49" s="22" t="str">
        <f ca="1">IFERROR(__xludf.dummyfunction("iferror(1000+INT(($N$4-(index(split(G49,"":""),1)*60+index(split(G49,"":""),2 )))/0.2+1)*$N$5,"""")"),"")</f>
        <v/>
      </c>
      <c r="I49" s="16" t="str">
        <f t="shared" ca="1" si="5"/>
        <v/>
      </c>
      <c r="J49" s="22" t="str">
        <f t="shared" si="0"/>
        <v/>
      </c>
      <c r="K49" s="16" t="str">
        <f t="shared" si="6"/>
        <v/>
      </c>
      <c r="L49" s="16"/>
    </row>
    <row r="50" spans="1:12" ht="14.5" x14ac:dyDescent="0.35">
      <c r="A50" s="16"/>
      <c r="B50" s="16"/>
      <c r="C50" s="16"/>
      <c r="D50" s="16"/>
      <c r="E50" s="22" t="str">
        <f ca="1">IFERROR(__xludf.dummyfunction("iferror(1000+INT(($N$2-(index(split(D50,"":""),1)*60+index(split(D50,"":""),2 )))/0.2+1)*$N$3,"""")"),"")</f>
        <v/>
      </c>
      <c r="F50" s="16" t="str">
        <f t="shared" ca="1" si="4"/>
        <v/>
      </c>
      <c r="G50" s="16"/>
      <c r="H50" s="22" t="str">
        <f ca="1">IFERROR(__xludf.dummyfunction("iferror(1000+INT(($N$4-(index(split(G50,"":""),1)*60+index(split(G50,"":""),2 )))/0.2+1)*$N$5,"""")"),"")</f>
        <v/>
      </c>
      <c r="I50" s="16" t="str">
        <f t="shared" ca="1" si="5"/>
        <v/>
      </c>
      <c r="J50" s="16" t="str">
        <f t="shared" ref="J34:J65" si="7">IF(AND(D50="", G50=""), "", E50+H50)</f>
        <v/>
      </c>
      <c r="K50" s="16" t="str">
        <f t="shared" si="6"/>
        <v/>
      </c>
      <c r="L50" s="16"/>
    </row>
    <row r="51" spans="1:12" ht="14.5" x14ac:dyDescent="0.35">
      <c r="A51" s="16"/>
      <c r="B51" s="16"/>
      <c r="C51" s="16"/>
      <c r="D51" s="16"/>
      <c r="E51" s="22" t="str">
        <f ca="1">IFERROR(__xludf.dummyfunction("iferror(1000+INT(($N$2-(index(split(D51,"":""),1)*60+index(split(D51,"":""),2 )))/0.2+1)*$N$3,"""")"),"")</f>
        <v/>
      </c>
      <c r="F51" s="16" t="str">
        <f t="shared" ca="1" si="4"/>
        <v/>
      </c>
      <c r="G51" s="16"/>
      <c r="H51" s="22" t="str">
        <f ca="1">IFERROR(__xludf.dummyfunction("iferror(1000+INT(($N$4-(index(split(G51,"":""),1)*60+index(split(G51,"":""),2 )))/0.2+1)*$N$5,"""")"),"")</f>
        <v/>
      </c>
      <c r="I51" s="16" t="str">
        <f t="shared" ca="1" si="5"/>
        <v/>
      </c>
      <c r="J51" s="16" t="str">
        <f t="shared" si="7"/>
        <v/>
      </c>
      <c r="K51" s="16" t="str">
        <f t="shared" si="6"/>
        <v/>
      </c>
      <c r="L51" s="16"/>
    </row>
    <row r="52" spans="1:12" ht="14.5" x14ac:dyDescent="0.35">
      <c r="A52" s="16"/>
      <c r="B52" s="16"/>
      <c r="C52" s="16"/>
      <c r="D52" s="16"/>
      <c r="E52" s="22" t="str">
        <f ca="1">IFERROR(__xludf.dummyfunction("iferror(1000+INT(($N$2-(index(split(D52,"":""),1)*60+index(split(D52,"":""),2 )))/0.2+1)*$N$3,"""")"),"")</f>
        <v/>
      </c>
      <c r="F52" s="16" t="str">
        <f t="shared" ca="1" si="4"/>
        <v/>
      </c>
      <c r="G52" s="16"/>
      <c r="H52" s="22" t="str">
        <f ca="1">IFERROR(__xludf.dummyfunction("iferror(1000+INT(($N$4-(index(split(G52,"":""),1)*60+index(split(G52,"":""),2 )))/0.2+1)*$N$5,"""")"),"")</f>
        <v/>
      </c>
      <c r="I52" s="16" t="str">
        <f t="shared" ca="1" si="5"/>
        <v/>
      </c>
      <c r="J52" s="16" t="str">
        <f t="shared" si="7"/>
        <v/>
      </c>
      <c r="K52" s="16" t="str">
        <f t="shared" si="6"/>
        <v/>
      </c>
      <c r="L52" s="16"/>
    </row>
    <row r="53" spans="1:12" ht="14.5" x14ac:dyDescent="0.35">
      <c r="A53" s="16"/>
      <c r="B53" s="16"/>
      <c r="C53" s="16"/>
      <c r="D53" s="16"/>
      <c r="E53" s="22" t="str">
        <f ca="1">IFERROR(__xludf.dummyfunction("iferror(1000+INT(($N$2-(index(split(D53,"":""),1)*60+index(split(D53,"":""),2 )))/0.2+1)*$N$3,"""")"),"")</f>
        <v/>
      </c>
      <c r="F53" s="16" t="str">
        <f t="shared" ca="1" si="4"/>
        <v/>
      </c>
      <c r="G53" s="16"/>
      <c r="H53" s="22" t="str">
        <f ca="1">IFERROR(__xludf.dummyfunction("iferror(1000+INT(($N$4-(index(split(G53,"":""),1)*60+index(split(G53,"":""),2 )))/0.2+1)*$N$5,"""")"),"")</f>
        <v/>
      </c>
      <c r="I53" s="16" t="str">
        <f t="shared" ca="1" si="5"/>
        <v/>
      </c>
      <c r="J53" s="16" t="str">
        <f t="shared" si="7"/>
        <v/>
      </c>
      <c r="K53" s="16" t="str">
        <f t="shared" si="6"/>
        <v/>
      </c>
      <c r="L53" s="16"/>
    </row>
    <row r="54" spans="1:12" ht="14.5" x14ac:dyDescent="0.35">
      <c r="A54" s="16"/>
      <c r="B54" s="16"/>
      <c r="C54" s="16"/>
      <c r="D54" s="16"/>
      <c r="E54" s="22" t="str">
        <f ca="1">IFERROR(__xludf.dummyfunction("iferror(1000+INT(($N$2-(index(split(D54,"":""),1)*60+index(split(D54,"":""),2 )))/0.2+1)*$N$3,"""")"),"")</f>
        <v/>
      </c>
      <c r="F54" s="16" t="str">
        <f t="shared" ca="1" si="4"/>
        <v/>
      </c>
      <c r="G54" s="16"/>
      <c r="H54" s="22" t="str">
        <f ca="1">IFERROR(__xludf.dummyfunction("iferror(1000+INT(($N$4-(index(split(G54,"":""),1)*60+index(split(G54,"":""),2 )))/0.2+1)*$N$5,"""")"),"")</f>
        <v/>
      </c>
      <c r="I54" s="16" t="str">
        <f t="shared" ca="1" si="5"/>
        <v/>
      </c>
      <c r="J54" s="16" t="str">
        <f t="shared" si="7"/>
        <v/>
      </c>
      <c r="K54" s="16" t="str">
        <f t="shared" si="6"/>
        <v/>
      </c>
      <c r="L54" s="16"/>
    </row>
    <row r="55" spans="1:12" ht="14.5" x14ac:dyDescent="0.35">
      <c r="A55" s="16"/>
      <c r="B55" s="16"/>
      <c r="C55" s="16"/>
      <c r="D55" s="16"/>
      <c r="E55" s="22" t="str">
        <f ca="1">IFERROR(__xludf.dummyfunction("iferror(1000+INT(($N$2-(index(split(D55,"":""),1)*60+index(split(D55,"":""),2 )))/0.2+1)*$N$3,"""")"),"")</f>
        <v/>
      </c>
      <c r="F55" s="16" t="str">
        <f t="shared" ca="1" si="4"/>
        <v/>
      </c>
      <c r="G55" s="16"/>
      <c r="H55" s="22" t="str">
        <f ca="1">IFERROR(__xludf.dummyfunction("iferror(1000+INT(($N$4-(index(split(G55,"":""),1)*60+index(split(G55,"":""),2 )))/0.2+1)*$N$5,"""")"),"")</f>
        <v/>
      </c>
      <c r="I55" s="16" t="str">
        <f t="shared" ca="1" si="5"/>
        <v/>
      </c>
      <c r="J55" s="16" t="str">
        <f t="shared" si="7"/>
        <v/>
      </c>
      <c r="K55" s="16" t="str">
        <f t="shared" si="6"/>
        <v/>
      </c>
      <c r="L55" s="16"/>
    </row>
    <row r="56" spans="1:12" ht="14.5" x14ac:dyDescent="0.35">
      <c r="A56" s="16"/>
      <c r="B56" s="16"/>
      <c r="C56" s="16"/>
      <c r="D56" s="16"/>
      <c r="E56" s="22" t="str">
        <f ca="1">IFERROR(__xludf.dummyfunction("iferror(1000+INT(($N$2-(index(split(D56,"":""),1)*60+index(split(D56,"":""),2 )))/0.2+1)*$N$3,"""")"),"")</f>
        <v/>
      </c>
      <c r="F56" s="16" t="str">
        <f t="shared" ca="1" si="4"/>
        <v/>
      </c>
      <c r="G56" s="16"/>
      <c r="H56" s="22" t="str">
        <f ca="1">IFERROR(__xludf.dummyfunction("iferror(1000+INT(($N$4-(index(split(G56,"":""),1)*60+index(split(G56,"":""),2 )))/0.2+1)*$N$5,"""")"),"")</f>
        <v/>
      </c>
      <c r="I56" s="16" t="str">
        <f t="shared" ca="1" si="5"/>
        <v/>
      </c>
      <c r="J56" s="16" t="str">
        <f t="shared" si="7"/>
        <v/>
      </c>
      <c r="K56" s="16" t="str">
        <f t="shared" si="6"/>
        <v/>
      </c>
      <c r="L56" s="16"/>
    </row>
    <row r="57" spans="1:12" ht="14.5" x14ac:dyDescent="0.35">
      <c r="A57" s="16"/>
      <c r="B57" s="16"/>
      <c r="C57" s="16"/>
      <c r="D57" s="16"/>
      <c r="E57" s="22" t="str">
        <f ca="1">IFERROR(__xludf.dummyfunction("iferror(1000+INT(($N$2-(index(split(D57,"":""),1)*60+index(split(D57,"":""),2 )))/0.2+1)*$N$3,"""")"),"")</f>
        <v/>
      </c>
      <c r="F57" s="16" t="str">
        <f t="shared" ca="1" si="4"/>
        <v/>
      </c>
      <c r="G57" s="16"/>
      <c r="H57" s="22" t="str">
        <f ca="1">IFERROR(__xludf.dummyfunction("iferror(1000+INT(($N$4-(index(split(G57,"":""),1)*60+index(split(G57,"":""),2 )))/0.2+1)*$N$5,"""")"),"")</f>
        <v/>
      </c>
      <c r="I57" s="16" t="str">
        <f t="shared" ca="1" si="5"/>
        <v/>
      </c>
      <c r="J57" s="16" t="str">
        <f t="shared" si="7"/>
        <v/>
      </c>
      <c r="K57" s="16" t="str">
        <f t="shared" si="6"/>
        <v/>
      </c>
      <c r="L57" s="16"/>
    </row>
    <row r="58" spans="1:12" ht="14.5" x14ac:dyDescent="0.35">
      <c r="A58" s="16"/>
      <c r="B58" s="16"/>
      <c r="C58" s="16"/>
      <c r="D58" s="16"/>
      <c r="E58" s="22" t="str">
        <f ca="1">IFERROR(__xludf.dummyfunction("iferror(1000+INT(($N$2-(index(split(D58,"":""),1)*60+index(split(D58,"":""),2 )))/0.2+1)*$N$3,"""")"),"")</f>
        <v/>
      </c>
      <c r="F58" s="16" t="str">
        <f t="shared" ca="1" si="4"/>
        <v/>
      </c>
      <c r="G58" s="16"/>
      <c r="H58" s="22" t="str">
        <f ca="1">IFERROR(__xludf.dummyfunction("iferror(1000+INT(($N$4-(index(split(G58,"":""),1)*60+index(split(G58,"":""),2 )))/0.2+1)*$N$5,"""")"),"")</f>
        <v/>
      </c>
      <c r="I58" s="16" t="str">
        <f t="shared" ca="1" si="5"/>
        <v/>
      </c>
      <c r="J58" s="16" t="str">
        <f t="shared" si="7"/>
        <v/>
      </c>
      <c r="K58" s="16" t="str">
        <f t="shared" si="6"/>
        <v/>
      </c>
      <c r="L58" s="16"/>
    </row>
    <row r="59" spans="1:12" ht="14.5" x14ac:dyDescent="0.35">
      <c r="A59" s="16"/>
      <c r="B59" s="16"/>
      <c r="C59" s="16"/>
      <c r="D59" s="16"/>
      <c r="E59" s="22" t="str">
        <f ca="1">IFERROR(__xludf.dummyfunction("iferror(1000+INT(($N$2-(index(split(D59,"":""),1)*60+index(split(D59,"":""),2 )))/0.2+1)*$N$3,"""")"),"")</f>
        <v/>
      </c>
      <c r="F59" s="16" t="str">
        <f t="shared" ca="1" si="4"/>
        <v/>
      </c>
      <c r="G59" s="16"/>
      <c r="H59" s="22" t="str">
        <f ca="1">IFERROR(__xludf.dummyfunction("iferror(1000+INT(($N$4-(index(split(G59,"":""),1)*60+index(split(G59,"":""),2 )))/0.2+1)*$N$5,"""")"),"")</f>
        <v/>
      </c>
      <c r="I59" s="16" t="str">
        <f t="shared" ca="1" si="5"/>
        <v/>
      </c>
      <c r="J59" s="16" t="str">
        <f t="shared" si="7"/>
        <v/>
      </c>
      <c r="K59" s="16" t="str">
        <f t="shared" si="6"/>
        <v/>
      </c>
      <c r="L59" s="16"/>
    </row>
    <row r="60" spans="1:12" ht="14.5" x14ac:dyDescent="0.35">
      <c r="A60" s="16"/>
      <c r="B60" s="16"/>
      <c r="C60" s="16"/>
      <c r="D60" s="16"/>
      <c r="E60" s="22" t="str">
        <f ca="1">IFERROR(__xludf.dummyfunction("iferror(1000+INT(($N$2-(index(split(D60,"":""),1)*60+index(split(D60,"":""),2 )))/0.2+1)*$N$3,"""")"),"")</f>
        <v/>
      </c>
      <c r="F60" s="16" t="str">
        <f t="shared" ca="1" si="4"/>
        <v/>
      </c>
      <c r="G60" s="16"/>
      <c r="H60" s="22" t="str">
        <f ca="1">IFERROR(__xludf.dummyfunction("iferror(1000+INT(($N$4-(index(split(G60,"":""),1)*60+index(split(G60,"":""),2 )))/0.2+1)*$N$5,"""")"),"")</f>
        <v/>
      </c>
      <c r="I60" s="16" t="str">
        <f t="shared" ca="1" si="5"/>
        <v/>
      </c>
      <c r="J60" s="16" t="str">
        <f t="shared" si="7"/>
        <v/>
      </c>
      <c r="K60" s="16" t="str">
        <f t="shared" si="6"/>
        <v/>
      </c>
      <c r="L60" s="16"/>
    </row>
    <row r="61" spans="1:12" ht="14.5" x14ac:dyDescent="0.35">
      <c r="A61" s="16"/>
      <c r="B61" s="16"/>
      <c r="C61" s="16"/>
      <c r="D61" s="16"/>
      <c r="E61" s="22" t="str">
        <f ca="1">IFERROR(__xludf.dummyfunction("iferror(1000+INT(($N$2-(index(split(D61,"":""),1)*60+index(split(D61,"":""),2 )))/0.2+1)*$N$3,"""")"),"")</f>
        <v/>
      </c>
      <c r="F61" s="16" t="str">
        <f t="shared" ca="1" si="4"/>
        <v/>
      </c>
      <c r="G61" s="16"/>
      <c r="H61" s="22" t="str">
        <f ca="1">IFERROR(__xludf.dummyfunction("iferror(1000+INT(($N$4-(index(split(G61,"":""),1)*60+index(split(G61,"":""),2 )))/0.2+1)*$N$5,"""")"),"")</f>
        <v/>
      </c>
      <c r="I61" s="16" t="str">
        <f t="shared" ca="1" si="5"/>
        <v/>
      </c>
      <c r="J61" s="16" t="str">
        <f t="shared" si="7"/>
        <v/>
      </c>
      <c r="K61" s="16" t="str">
        <f t="shared" si="6"/>
        <v/>
      </c>
      <c r="L61" s="16"/>
    </row>
    <row r="62" spans="1:12" ht="14.5" x14ac:dyDescent="0.35">
      <c r="A62" s="16"/>
      <c r="B62" s="16"/>
      <c r="C62" s="16"/>
      <c r="D62" s="16"/>
      <c r="E62" s="22" t="str">
        <f ca="1">IFERROR(__xludf.dummyfunction("iferror(1000+INT(($N$2-(index(split(D62,"":""),1)*60+index(split(D62,"":""),2 )))/0.2+1)*$N$3,"""")"),"")</f>
        <v/>
      </c>
      <c r="F62" s="16" t="str">
        <f t="shared" ca="1" si="4"/>
        <v/>
      </c>
      <c r="G62" s="16"/>
      <c r="H62" s="22" t="str">
        <f ca="1">IFERROR(__xludf.dummyfunction("iferror(1000+INT(($N$4-(index(split(G62,"":""),1)*60+index(split(G62,"":""),2 )))/0.2+1)*$N$5,"""")"),"")</f>
        <v/>
      </c>
      <c r="I62" s="16" t="str">
        <f t="shared" ca="1" si="5"/>
        <v/>
      </c>
      <c r="J62" s="16" t="str">
        <f t="shared" si="7"/>
        <v/>
      </c>
      <c r="K62" s="16" t="str">
        <f t="shared" si="6"/>
        <v/>
      </c>
      <c r="L62" s="16"/>
    </row>
    <row r="63" spans="1:12" ht="14.5" x14ac:dyDescent="0.35">
      <c r="A63" s="16"/>
      <c r="B63" s="16"/>
      <c r="C63" s="16"/>
      <c r="D63" s="16"/>
      <c r="E63" s="22" t="str">
        <f ca="1">IFERROR(__xludf.dummyfunction("iferror(1000+INT(($N$2-(index(split(D63,"":""),1)*60+index(split(D63,"":""),2 )))/0.2+1)*$N$3,"""")"),"")</f>
        <v/>
      </c>
      <c r="F63" s="16" t="str">
        <f t="shared" ca="1" si="4"/>
        <v/>
      </c>
      <c r="G63" s="16"/>
      <c r="H63" s="22" t="str">
        <f ca="1">IFERROR(__xludf.dummyfunction("iferror(1000+INT(($N$4-(index(split(G63,"":""),1)*60+index(split(G63,"":""),2 )))/0.2+1)*$N$5,"""")"),"")</f>
        <v/>
      </c>
      <c r="I63" s="16" t="str">
        <f t="shared" ca="1" si="5"/>
        <v/>
      </c>
      <c r="J63" s="16" t="str">
        <f t="shared" si="7"/>
        <v/>
      </c>
      <c r="K63" s="16" t="str">
        <f t="shared" si="6"/>
        <v/>
      </c>
      <c r="L63" s="16"/>
    </row>
    <row r="64" spans="1:12" ht="14.5" x14ac:dyDescent="0.35">
      <c r="A64" s="16"/>
      <c r="B64" s="16"/>
      <c r="C64" s="16"/>
      <c r="D64" s="16"/>
      <c r="E64" s="22" t="str">
        <f ca="1">IFERROR(__xludf.dummyfunction("iferror(1000+INT(($N$2-(index(split(D64,"":""),1)*60+index(split(D64,"":""),2 )))/0.2+1)*$N$3,"""")"),"")</f>
        <v/>
      </c>
      <c r="F64" s="16" t="str">
        <f t="shared" ca="1" si="4"/>
        <v/>
      </c>
      <c r="G64" s="16"/>
      <c r="H64" s="22" t="str">
        <f ca="1">IFERROR(__xludf.dummyfunction("iferror(1000+INT(($N$4-(index(split(G64,"":""),1)*60+index(split(G64,"":""),2 )))/0.2+1)*$N$5,"""")"),"")</f>
        <v/>
      </c>
      <c r="I64" s="16" t="str">
        <f t="shared" ca="1" si="5"/>
        <v/>
      </c>
      <c r="J64" s="16" t="str">
        <f t="shared" si="7"/>
        <v/>
      </c>
      <c r="K64" s="16" t="str">
        <f t="shared" si="6"/>
        <v/>
      </c>
      <c r="L64" s="16"/>
    </row>
    <row r="65" spans="1:12" ht="14.5" x14ac:dyDescent="0.35">
      <c r="A65" s="16"/>
      <c r="B65" s="16"/>
      <c r="C65" s="16"/>
      <c r="D65" s="16"/>
      <c r="E65" s="22" t="str">
        <f ca="1">IFERROR(__xludf.dummyfunction("iferror(1000+INT(($N$2-(index(split(D65,"":""),1)*60+index(split(D65,"":""),2 )))/0.2+1)*$N$3,"""")"),"")</f>
        <v/>
      </c>
      <c r="F65" s="16" t="str">
        <f t="shared" ca="1" si="4"/>
        <v/>
      </c>
      <c r="G65" s="16"/>
      <c r="H65" s="22" t="str">
        <f ca="1">IFERROR(__xludf.dummyfunction("iferror(1000+INT(($N$4-(index(split(G65,"":""),1)*60+index(split(G65,"":""),2 )))/0.2+1)*$N$5,"""")"),"")</f>
        <v/>
      </c>
      <c r="I65" s="16" t="str">
        <f t="shared" ca="1" si="5"/>
        <v/>
      </c>
      <c r="J65" s="16" t="str">
        <f t="shared" si="7"/>
        <v/>
      </c>
      <c r="K65" s="16" t="str">
        <f t="shared" si="6"/>
        <v/>
      </c>
      <c r="L65" s="16"/>
    </row>
    <row r="66" spans="1:12" ht="14.5" x14ac:dyDescent="0.35">
      <c r="A66" s="16"/>
      <c r="B66" s="16"/>
      <c r="C66" s="16"/>
      <c r="D66" s="16"/>
      <c r="E66" s="22" t="str">
        <f ca="1">IFERROR(__xludf.dummyfunction("iferror(1000+INT(($N$2-(index(split(D66,"":""),1)*60+index(split(D66,"":""),2 )))/0.2+1)*$N$3,"""")"),"")</f>
        <v/>
      </c>
      <c r="F66" s="16" t="str">
        <f t="shared" ref="F66:F97" ca="1" si="8">IFERROR(_xlfn.RANK.EQ(E66,E:E),"")</f>
        <v/>
      </c>
      <c r="G66" s="16"/>
      <c r="H66" s="22" t="str">
        <f ca="1">IFERROR(__xludf.dummyfunction("iferror(1000+INT(($N$4-(index(split(G66,"":""),1)*60+index(split(G66,"":""),2 )))/0.2+1)*$N$5,"""")"),"")</f>
        <v/>
      </c>
      <c r="I66" s="16" t="str">
        <f t="shared" ref="I66:I97" ca="1" si="9">IFERROR(_xlfn.RANK.EQ(H66,H:H),"")</f>
        <v/>
      </c>
      <c r="J66" s="16" t="str">
        <f t="shared" ref="J66:J100" si="10">IF(AND(D66="", G66=""), "", E66+H66)</f>
        <v/>
      </c>
      <c r="K66" s="16" t="str">
        <f t="shared" ref="K66:K97" si="11">IFERROR(_xlfn.RANK.EQ(J66,J:J),"")</f>
        <v/>
      </c>
      <c r="L66" s="16"/>
    </row>
    <row r="67" spans="1:12" ht="14.5" x14ac:dyDescent="0.35">
      <c r="A67" s="16"/>
      <c r="B67" s="16"/>
      <c r="C67" s="16"/>
      <c r="D67" s="16"/>
      <c r="E67" s="22" t="str">
        <f ca="1">IFERROR(__xludf.dummyfunction("iferror(1000+INT(($N$2-(index(split(D67,"":""),1)*60+index(split(D67,"":""),2 )))/0.2+1)*$N$3,"""")"),"")</f>
        <v/>
      </c>
      <c r="F67" s="16" t="str">
        <f t="shared" ca="1" si="8"/>
        <v/>
      </c>
      <c r="G67" s="16"/>
      <c r="H67" s="22" t="str">
        <f ca="1">IFERROR(__xludf.dummyfunction("iferror(1000+INT(($N$4-(index(split(G67,"":""),1)*60+index(split(G67,"":""),2 )))/0.2+1)*$N$5,"""")"),"")</f>
        <v/>
      </c>
      <c r="I67" s="16" t="str">
        <f t="shared" ca="1" si="9"/>
        <v/>
      </c>
      <c r="J67" s="16" t="str">
        <f t="shared" si="10"/>
        <v/>
      </c>
      <c r="K67" s="16" t="str">
        <f t="shared" si="11"/>
        <v/>
      </c>
      <c r="L67" s="16"/>
    </row>
    <row r="68" spans="1:12" ht="14.5" x14ac:dyDescent="0.35">
      <c r="A68" s="16"/>
      <c r="B68" s="16"/>
      <c r="C68" s="16"/>
      <c r="D68" s="16"/>
      <c r="E68" s="22" t="str">
        <f ca="1">IFERROR(__xludf.dummyfunction("iferror(1000+INT(($N$2-(index(split(D68,"":""),1)*60+index(split(D68,"":""),2 )))/0.2+1)*$N$3,"""")"),"")</f>
        <v/>
      </c>
      <c r="F68" s="16" t="str">
        <f t="shared" ca="1" si="8"/>
        <v/>
      </c>
      <c r="G68" s="16"/>
      <c r="H68" s="22" t="str">
        <f ca="1">IFERROR(__xludf.dummyfunction("iferror(1000+INT(($N$4-(index(split(G68,"":""),1)*60+index(split(G68,"":""),2 )))/0.2+1)*$N$5,"""")"),"")</f>
        <v/>
      </c>
      <c r="I68" s="16" t="str">
        <f t="shared" ca="1" si="9"/>
        <v/>
      </c>
      <c r="J68" s="16" t="str">
        <f t="shared" si="10"/>
        <v/>
      </c>
      <c r="K68" s="16" t="str">
        <f t="shared" si="11"/>
        <v/>
      </c>
      <c r="L68" s="16"/>
    </row>
    <row r="69" spans="1:12" ht="14.5" x14ac:dyDescent="0.35">
      <c r="A69" s="16"/>
      <c r="B69" s="16"/>
      <c r="C69" s="16"/>
      <c r="D69" s="16"/>
      <c r="E69" s="22" t="str">
        <f ca="1">IFERROR(__xludf.dummyfunction("iferror(1000+INT(($N$2-(index(split(D69,"":""),1)*60+index(split(D69,"":""),2 )))/0.2+1)*$N$3,"""")"),"")</f>
        <v/>
      </c>
      <c r="F69" s="16" t="str">
        <f t="shared" ca="1" si="8"/>
        <v/>
      </c>
      <c r="G69" s="16"/>
      <c r="H69" s="22" t="str">
        <f ca="1">IFERROR(__xludf.dummyfunction("iferror(1000+INT(($N$4-(index(split(G69,"":""),1)*60+index(split(G69,"":""),2 )))/0.2+1)*$N$5,"""")"),"")</f>
        <v/>
      </c>
      <c r="I69" s="16" t="str">
        <f t="shared" ca="1" si="9"/>
        <v/>
      </c>
      <c r="J69" s="16" t="str">
        <f t="shared" si="10"/>
        <v/>
      </c>
      <c r="K69" s="16" t="str">
        <f t="shared" si="11"/>
        <v/>
      </c>
      <c r="L69" s="16"/>
    </row>
    <row r="70" spans="1:12" ht="14.5" x14ac:dyDescent="0.35">
      <c r="A70" s="16"/>
      <c r="B70" s="16"/>
      <c r="C70" s="16"/>
      <c r="D70" s="16"/>
      <c r="E70" s="22" t="str">
        <f ca="1">IFERROR(__xludf.dummyfunction("iferror(1000+INT(($N$2-(index(split(D70,"":""),1)*60+index(split(D70,"":""),2 )))/0.2+1)*$N$3,"""")"),"")</f>
        <v/>
      </c>
      <c r="F70" s="16" t="str">
        <f t="shared" ca="1" si="8"/>
        <v/>
      </c>
      <c r="G70" s="16"/>
      <c r="H70" s="22" t="str">
        <f ca="1">IFERROR(__xludf.dummyfunction("iferror(1000+INT(($N$4-(index(split(G70,"":""),1)*60+index(split(G70,"":""),2 )))/0.2+1)*$N$5,"""")"),"")</f>
        <v/>
      </c>
      <c r="I70" s="16" t="str">
        <f t="shared" ca="1" si="9"/>
        <v/>
      </c>
      <c r="J70" s="16" t="str">
        <f t="shared" si="10"/>
        <v/>
      </c>
      <c r="K70" s="16" t="str">
        <f t="shared" si="11"/>
        <v/>
      </c>
      <c r="L70" s="16"/>
    </row>
    <row r="71" spans="1:12" ht="14.5" x14ac:dyDescent="0.35">
      <c r="A71" s="16"/>
      <c r="B71" s="16"/>
      <c r="C71" s="16"/>
      <c r="D71" s="16"/>
      <c r="E71" s="22" t="str">
        <f ca="1">IFERROR(__xludf.dummyfunction("iferror(1000+INT(($N$2-(index(split(D71,"":""),1)*60+index(split(D71,"":""),2 )))/0.2+1)*$N$3,"""")"),"")</f>
        <v/>
      </c>
      <c r="F71" s="16" t="str">
        <f t="shared" ca="1" si="8"/>
        <v/>
      </c>
      <c r="G71" s="16"/>
      <c r="H71" s="22" t="str">
        <f ca="1">IFERROR(__xludf.dummyfunction("iferror(1000+INT(($N$4-(index(split(G71,"":""),1)*60+index(split(G71,"":""),2 )))/0.2+1)*$N$5,"""")"),"")</f>
        <v/>
      </c>
      <c r="I71" s="16" t="str">
        <f t="shared" ca="1" si="9"/>
        <v/>
      </c>
      <c r="J71" s="16" t="str">
        <f t="shared" si="10"/>
        <v/>
      </c>
      <c r="K71" s="16" t="str">
        <f t="shared" si="11"/>
        <v/>
      </c>
      <c r="L71" s="16"/>
    </row>
    <row r="72" spans="1:12" ht="14.5" x14ac:dyDescent="0.35">
      <c r="A72" s="16"/>
      <c r="B72" s="16"/>
      <c r="C72" s="16"/>
      <c r="D72" s="16"/>
      <c r="E72" s="22" t="str">
        <f ca="1">IFERROR(__xludf.dummyfunction("iferror(1000+INT(($N$2-(index(split(D72,"":""),1)*60+index(split(D72,"":""),2 )))/0.2+1)*$N$3,"""")"),"")</f>
        <v/>
      </c>
      <c r="F72" s="16" t="str">
        <f t="shared" ca="1" si="8"/>
        <v/>
      </c>
      <c r="G72" s="16"/>
      <c r="H72" s="22" t="str">
        <f ca="1">IFERROR(__xludf.dummyfunction("iferror(1000+INT(($N$4-(index(split(G72,"":""),1)*60+index(split(G72,"":""),2 )))/0.2+1)*$N$5,"""")"),"")</f>
        <v/>
      </c>
      <c r="I72" s="16" t="str">
        <f t="shared" ca="1" si="9"/>
        <v/>
      </c>
      <c r="J72" s="16" t="str">
        <f t="shared" si="10"/>
        <v/>
      </c>
      <c r="K72" s="16" t="str">
        <f t="shared" si="11"/>
        <v/>
      </c>
      <c r="L72" s="16"/>
    </row>
    <row r="73" spans="1:12" ht="14.5" x14ac:dyDescent="0.35">
      <c r="A73" s="16"/>
      <c r="B73" s="16"/>
      <c r="C73" s="16"/>
      <c r="D73" s="16"/>
      <c r="E73" s="22" t="str">
        <f ca="1">IFERROR(__xludf.dummyfunction("iferror(1000+INT(($N$2-(index(split(D73,"":""),1)*60+index(split(D73,"":""),2 )))/0.2+1)*$N$3,"""")"),"")</f>
        <v/>
      </c>
      <c r="F73" s="16" t="str">
        <f t="shared" ca="1" si="8"/>
        <v/>
      </c>
      <c r="G73" s="16"/>
      <c r="H73" s="22" t="str">
        <f ca="1">IFERROR(__xludf.dummyfunction("iferror(1000+INT(($N$4-(index(split(G73,"":""),1)*60+index(split(G73,"":""),2 )))/0.2+1)*$N$5,"""")"),"")</f>
        <v/>
      </c>
      <c r="I73" s="16" t="str">
        <f t="shared" ca="1" si="9"/>
        <v/>
      </c>
      <c r="J73" s="16" t="str">
        <f t="shared" si="10"/>
        <v/>
      </c>
      <c r="K73" s="16" t="str">
        <f t="shared" si="11"/>
        <v/>
      </c>
      <c r="L73" s="16"/>
    </row>
    <row r="74" spans="1:12" ht="14.5" x14ac:dyDescent="0.35">
      <c r="A74" s="16"/>
      <c r="B74" s="16"/>
      <c r="C74" s="16"/>
      <c r="D74" s="16"/>
      <c r="E74" s="22" t="str">
        <f ca="1">IFERROR(__xludf.dummyfunction("iferror(1000+INT(($N$2-(index(split(D74,"":""),1)*60+index(split(D74,"":""),2 )))/0.2+1)*$N$3,"""")"),"")</f>
        <v/>
      </c>
      <c r="F74" s="16" t="str">
        <f t="shared" ca="1" si="8"/>
        <v/>
      </c>
      <c r="G74" s="16"/>
      <c r="H74" s="22" t="str">
        <f ca="1">IFERROR(__xludf.dummyfunction("iferror(1000+INT(($N$4-(index(split(G74,"":""),1)*60+index(split(G74,"":""),2 )))/0.2+1)*$N$5,"""")"),"")</f>
        <v/>
      </c>
      <c r="I74" s="16" t="str">
        <f t="shared" ca="1" si="9"/>
        <v/>
      </c>
      <c r="J74" s="16" t="str">
        <f t="shared" si="10"/>
        <v/>
      </c>
      <c r="K74" s="16" t="str">
        <f t="shared" si="11"/>
        <v/>
      </c>
      <c r="L74" s="16"/>
    </row>
    <row r="75" spans="1:12" ht="14.5" x14ac:dyDescent="0.35">
      <c r="A75" s="16"/>
      <c r="B75" s="16"/>
      <c r="C75" s="16"/>
      <c r="D75" s="16"/>
      <c r="E75" s="22" t="str">
        <f ca="1">IFERROR(__xludf.dummyfunction("iferror(1000+INT(($N$2-(index(split(D75,"":""),1)*60+index(split(D75,"":""),2 )))/0.2+1)*$N$3,"""")"),"")</f>
        <v/>
      </c>
      <c r="F75" s="16" t="str">
        <f t="shared" ca="1" si="8"/>
        <v/>
      </c>
      <c r="G75" s="16"/>
      <c r="H75" s="22" t="str">
        <f ca="1">IFERROR(__xludf.dummyfunction("iferror(1000+INT(($N$4-(index(split(G75,"":""),1)*60+index(split(G75,"":""),2 )))/0.2+1)*$N$5,"""")"),"")</f>
        <v/>
      </c>
      <c r="I75" s="16" t="str">
        <f t="shared" ca="1" si="9"/>
        <v/>
      </c>
      <c r="J75" s="16" t="str">
        <f t="shared" si="10"/>
        <v/>
      </c>
      <c r="K75" s="16" t="str">
        <f t="shared" si="11"/>
        <v/>
      </c>
      <c r="L75" s="16"/>
    </row>
    <row r="76" spans="1:12" ht="14.5" x14ac:dyDescent="0.35">
      <c r="A76" s="16"/>
      <c r="B76" s="16"/>
      <c r="C76" s="16"/>
      <c r="D76" s="16"/>
      <c r="E76" s="22" t="str">
        <f ca="1">IFERROR(__xludf.dummyfunction("iferror(1000+INT(($N$2-(index(split(D76,"":""),1)*60+index(split(D76,"":""),2 )))/0.2+1)*$N$3,"""")"),"")</f>
        <v/>
      </c>
      <c r="F76" s="16" t="str">
        <f t="shared" ca="1" si="8"/>
        <v/>
      </c>
      <c r="G76" s="16"/>
      <c r="H76" s="22" t="str">
        <f ca="1">IFERROR(__xludf.dummyfunction("iferror(1000+INT(($N$4-(index(split(G76,"":""),1)*60+index(split(G76,"":""),2 )))/0.2+1)*$N$5,"""")"),"")</f>
        <v/>
      </c>
      <c r="I76" s="16" t="str">
        <f t="shared" ca="1" si="9"/>
        <v/>
      </c>
      <c r="J76" s="16" t="str">
        <f t="shared" si="10"/>
        <v/>
      </c>
      <c r="K76" s="16" t="str">
        <f t="shared" si="11"/>
        <v/>
      </c>
      <c r="L76" s="16"/>
    </row>
    <row r="77" spans="1:12" ht="14.5" x14ac:dyDescent="0.35">
      <c r="A77" s="16"/>
      <c r="B77" s="16"/>
      <c r="C77" s="16"/>
      <c r="D77" s="16"/>
      <c r="E77" s="22" t="str">
        <f ca="1">IFERROR(__xludf.dummyfunction("iferror(1000+INT(($N$2-(index(split(D77,"":""),1)*60+index(split(D77,"":""),2 )))/0.2+1)*$N$3,"""")"),"")</f>
        <v/>
      </c>
      <c r="F77" s="16" t="str">
        <f t="shared" ca="1" si="8"/>
        <v/>
      </c>
      <c r="G77" s="16"/>
      <c r="H77" s="22" t="str">
        <f ca="1">IFERROR(__xludf.dummyfunction("iferror(1000+INT(($N$4-(index(split(G77,"":""),1)*60+index(split(G77,"":""),2 )))/0.2+1)*$N$5,"""")"),"")</f>
        <v/>
      </c>
      <c r="I77" s="16" t="str">
        <f t="shared" ca="1" si="9"/>
        <v/>
      </c>
      <c r="J77" s="16" t="str">
        <f t="shared" si="10"/>
        <v/>
      </c>
      <c r="K77" s="16" t="str">
        <f t="shared" si="11"/>
        <v/>
      </c>
      <c r="L77" s="16"/>
    </row>
    <row r="78" spans="1:12" ht="14.5" x14ac:dyDescent="0.35">
      <c r="A78" s="16"/>
      <c r="B78" s="16"/>
      <c r="C78" s="16"/>
      <c r="D78" s="16"/>
      <c r="E78" s="22" t="str">
        <f ca="1">IFERROR(__xludf.dummyfunction("iferror(1000+INT(($N$2-(index(split(D78,"":""),1)*60+index(split(D78,"":""),2 )))/0.2+1)*$N$3,"""")"),"")</f>
        <v/>
      </c>
      <c r="F78" s="16" t="str">
        <f t="shared" ca="1" si="8"/>
        <v/>
      </c>
      <c r="G78" s="16"/>
      <c r="H78" s="22" t="str">
        <f ca="1">IFERROR(__xludf.dummyfunction("iferror(1000+INT(($N$4-(index(split(G78,"":""),1)*60+index(split(G78,"":""),2 )))/0.2+1)*$N$5,"""")"),"")</f>
        <v/>
      </c>
      <c r="I78" s="16" t="str">
        <f t="shared" ca="1" si="9"/>
        <v/>
      </c>
      <c r="J78" s="16" t="str">
        <f t="shared" si="10"/>
        <v/>
      </c>
      <c r="K78" s="16" t="str">
        <f t="shared" si="11"/>
        <v/>
      </c>
      <c r="L78" s="16"/>
    </row>
    <row r="79" spans="1:12" ht="14.5" x14ac:dyDescent="0.35">
      <c r="A79" s="16"/>
      <c r="B79" s="16"/>
      <c r="C79" s="16"/>
      <c r="D79" s="16"/>
      <c r="E79" s="22" t="str">
        <f ca="1">IFERROR(__xludf.dummyfunction("iferror(1000+INT(($N$2-(index(split(D79,"":""),1)*60+index(split(D79,"":""),2 )))/0.2+1)*$N$3,"""")"),"")</f>
        <v/>
      </c>
      <c r="F79" s="16" t="str">
        <f t="shared" ca="1" si="8"/>
        <v/>
      </c>
      <c r="G79" s="16"/>
      <c r="H79" s="22" t="str">
        <f ca="1">IFERROR(__xludf.dummyfunction("iferror(1000+INT(($N$4-(index(split(G79,"":""),1)*60+index(split(G79,"":""),2 )))/0.2+1)*$N$5,"""")"),"")</f>
        <v/>
      </c>
      <c r="I79" s="16" t="str">
        <f t="shared" ca="1" si="9"/>
        <v/>
      </c>
      <c r="J79" s="16" t="str">
        <f t="shared" si="10"/>
        <v/>
      </c>
      <c r="K79" s="16" t="str">
        <f t="shared" si="11"/>
        <v/>
      </c>
      <c r="L79" s="16"/>
    </row>
    <row r="80" spans="1:12" ht="14.5" x14ac:dyDescent="0.35">
      <c r="A80" s="16"/>
      <c r="B80" s="16"/>
      <c r="C80" s="16"/>
      <c r="D80" s="16"/>
      <c r="E80" s="22" t="str">
        <f ca="1">IFERROR(__xludf.dummyfunction("iferror(1000+INT(($N$2-(index(split(D80,"":""),1)*60+index(split(D80,"":""),2 )))/0.2+1)*$N$3,"""")"),"")</f>
        <v/>
      </c>
      <c r="F80" s="16" t="str">
        <f t="shared" ca="1" si="8"/>
        <v/>
      </c>
      <c r="G80" s="16"/>
      <c r="H80" s="22" t="str">
        <f ca="1">IFERROR(__xludf.dummyfunction("iferror(1000+INT(($N$4-(index(split(G80,"":""),1)*60+index(split(G80,"":""),2 )))/0.2+1)*$N$5,"""")"),"")</f>
        <v/>
      </c>
      <c r="I80" s="16" t="str">
        <f t="shared" ca="1" si="9"/>
        <v/>
      </c>
      <c r="J80" s="16" t="str">
        <f t="shared" si="10"/>
        <v/>
      </c>
      <c r="K80" s="16" t="str">
        <f t="shared" si="11"/>
        <v/>
      </c>
      <c r="L80" s="16"/>
    </row>
    <row r="81" spans="1:12" ht="14.5" x14ac:dyDescent="0.35">
      <c r="A81" s="16"/>
      <c r="B81" s="16"/>
      <c r="C81" s="16"/>
      <c r="D81" s="16"/>
      <c r="E81" s="22" t="str">
        <f ca="1">IFERROR(__xludf.dummyfunction("iferror(1000+INT(($N$2-(index(split(D81,"":""),1)*60+index(split(D81,"":""),2 )))/0.2+1)*$N$3,"""")"),"")</f>
        <v/>
      </c>
      <c r="F81" s="16" t="str">
        <f t="shared" ca="1" si="8"/>
        <v/>
      </c>
      <c r="G81" s="16"/>
      <c r="H81" s="22" t="str">
        <f ca="1">IFERROR(__xludf.dummyfunction("iferror(1000+INT(($N$4-(index(split(G81,"":""),1)*60+index(split(G81,"":""),2 )))/0.2+1)*$N$5,"""")"),"")</f>
        <v/>
      </c>
      <c r="I81" s="16" t="str">
        <f t="shared" ca="1" si="9"/>
        <v/>
      </c>
      <c r="J81" s="16" t="str">
        <f t="shared" si="10"/>
        <v/>
      </c>
      <c r="K81" s="16" t="str">
        <f t="shared" si="11"/>
        <v/>
      </c>
      <c r="L81" s="16"/>
    </row>
    <row r="82" spans="1:12" ht="14.5" x14ac:dyDescent="0.35">
      <c r="A82" s="16"/>
      <c r="B82" s="16"/>
      <c r="C82" s="16"/>
      <c r="D82" s="16"/>
      <c r="E82" s="22" t="str">
        <f ca="1">IFERROR(__xludf.dummyfunction("iferror(1000+INT(($N$2-(index(split(D82,"":""),1)*60+index(split(D82,"":""),2 )))/0.2+1)*$N$3,"""")"),"")</f>
        <v/>
      </c>
      <c r="F82" s="16" t="str">
        <f t="shared" ca="1" si="8"/>
        <v/>
      </c>
      <c r="G82" s="16"/>
      <c r="H82" s="22" t="str">
        <f ca="1">IFERROR(__xludf.dummyfunction("iferror(1000+INT(($N$4-(index(split(G82,"":""),1)*60+index(split(G82,"":""),2 )))/0.2+1)*$N$5,"""")"),"")</f>
        <v/>
      </c>
      <c r="I82" s="16" t="str">
        <f t="shared" ca="1" si="9"/>
        <v/>
      </c>
      <c r="J82" s="16" t="str">
        <f t="shared" si="10"/>
        <v/>
      </c>
      <c r="K82" s="16" t="str">
        <f t="shared" si="11"/>
        <v/>
      </c>
      <c r="L82" s="16"/>
    </row>
    <row r="83" spans="1:12" ht="14.5" x14ac:dyDescent="0.35">
      <c r="A83" s="16"/>
      <c r="B83" s="16"/>
      <c r="C83" s="16"/>
      <c r="D83" s="16"/>
      <c r="E83" s="22" t="str">
        <f ca="1">IFERROR(__xludf.dummyfunction("iferror(1000+INT(($N$2-(index(split(D83,"":""),1)*60+index(split(D83,"":""),2 )))/0.2+1)*$N$3,"""")"),"")</f>
        <v/>
      </c>
      <c r="F83" s="16" t="str">
        <f t="shared" ca="1" si="8"/>
        <v/>
      </c>
      <c r="G83" s="16"/>
      <c r="H83" s="22" t="str">
        <f ca="1">IFERROR(__xludf.dummyfunction("iferror(1000+INT(($N$4-(index(split(G83,"":""),1)*60+index(split(G83,"":""),2 )))/0.2+1)*$N$5,"""")"),"")</f>
        <v/>
      </c>
      <c r="I83" s="16" t="str">
        <f t="shared" ca="1" si="9"/>
        <v/>
      </c>
      <c r="J83" s="16" t="str">
        <f t="shared" si="10"/>
        <v/>
      </c>
      <c r="K83" s="16" t="str">
        <f t="shared" si="11"/>
        <v/>
      </c>
      <c r="L83" s="16"/>
    </row>
    <row r="84" spans="1:12" ht="14.5" x14ac:dyDescent="0.35">
      <c r="A84" s="16"/>
      <c r="B84" s="16"/>
      <c r="C84" s="16"/>
      <c r="D84" s="16"/>
      <c r="E84" s="22" t="str">
        <f ca="1">IFERROR(__xludf.dummyfunction("iferror(1000+INT(($N$2-(index(split(D84,"":""),1)*60+index(split(D84,"":""),2 )))/0.2+1)*$N$3,"""")"),"")</f>
        <v/>
      </c>
      <c r="F84" s="16" t="str">
        <f t="shared" ca="1" si="8"/>
        <v/>
      </c>
      <c r="G84" s="16"/>
      <c r="H84" s="22" t="str">
        <f ca="1">IFERROR(__xludf.dummyfunction("iferror(1000+INT(($N$4-(index(split(G84,"":""),1)*60+index(split(G84,"":""),2 )))/0.2+1)*$N$5,"""")"),"")</f>
        <v/>
      </c>
      <c r="I84" s="16" t="str">
        <f t="shared" ca="1" si="9"/>
        <v/>
      </c>
      <c r="J84" s="16" t="str">
        <f t="shared" si="10"/>
        <v/>
      </c>
      <c r="K84" s="16" t="str">
        <f t="shared" si="11"/>
        <v/>
      </c>
      <c r="L84" s="16"/>
    </row>
    <row r="85" spans="1:12" ht="14.5" x14ac:dyDescent="0.35">
      <c r="A85" s="16"/>
      <c r="B85" s="16"/>
      <c r="C85" s="16"/>
      <c r="D85" s="16"/>
      <c r="E85" s="22" t="str">
        <f ca="1">IFERROR(__xludf.dummyfunction("iferror(1000+INT(($N$2-(index(split(D85,"":""),1)*60+index(split(D85,"":""),2 )))/0.2+1)*$N$3,"""")"),"")</f>
        <v/>
      </c>
      <c r="F85" s="16" t="str">
        <f t="shared" ca="1" si="8"/>
        <v/>
      </c>
      <c r="G85" s="16"/>
      <c r="H85" s="22" t="str">
        <f ca="1">IFERROR(__xludf.dummyfunction("iferror(1000+INT(($N$4-(index(split(G85,"":""),1)*60+index(split(G85,"":""),2 )))/0.2+1)*$N$5,"""")"),"")</f>
        <v/>
      </c>
      <c r="I85" s="16" t="str">
        <f t="shared" ca="1" si="9"/>
        <v/>
      </c>
      <c r="J85" s="16" t="str">
        <f t="shared" si="10"/>
        <v/>
      </c>
      <c r="K85" s="16" t="str">
        <f t="shared" si="11"/>
        <v/>
      </c>
      <c r="L85" s="16"/>
    </row>
    <row r="86" spans="1:12" ht="14.5" x14ac:dyDescent="0.35">
      <c r="A86" s="16"/>
      <c r="B86" s="16"/>
      <c r="C86" s="16"/>
      <c r="D86" s="16"/>
      <c r="E86" s="22" t="str">
        <f ca="1">IFERROR(__xludf.dummyfunction("iferror(1000+INT(($N$2-(index(split(D86,"":""),1)*60+index(split(D86,"":""),2 )))/0.2+1)*$N$3,"""")"),"")</f>
        <v/>
      </c>
      <c r="F86" s="16" t="str">
        <f t="shared" ca="1" si="8"/>
        <v/>
      </c>
      <c r="G86" s="16"/>
      <c r="H86" s="22" t="str">
        <f ca="1">IFERROR(__xludf.dummyfunction("iferror(1000+INT(($N$4-(index(split(G86,"":""),1)*60+index(split(G86,"":""),2 )))/0.2+1)*$N$5,"""")"),"")</f>
        <v/>
      </c>
      <c r="I86" s="16" t="str">
        <f t="shared" ca="1" si="9"/>
        <v/>
      </c>
      <c r="J86" s="16" t="str">
        <f t="shared" si="10"/>
        <v/>
      </c>
      <c r="K86" s="16" t="str">
        <f t="shared" si="11"/>
        <v/>
      </c>
      <c r="L86" s="16"/>
    </row>
    <row r="87" spans="1:12" ht="14.5" x14ac:dyDescent="0.35">
      <c r="A87" s="16"/>
      <c r="B87" s="16"/>
      <c r="C87" s="16"/>
      <c r="D87" s="16"/>
      <c r="E87" s="22" t="str">
        <f ca="1">IFERROR(__xludf.dummyfunction("iferror(1000+INT(($N$2-(index(split(D87,"":""),1)*60+index(split(D87,"":""),2 )))/0.2+1)*$N$3,"""")"),"")</f>
        <v/>
      </c>
      <c r="F87" s="16" t="str">
        <f t="shared" ca="1" si="8"/>
        <v/>
      </c>
      <c r="G87" s="16"/>
      <c r="H87" s="22" t="str">
        <f ca="1">IFERROR(__xludf.dummyfunction("iferror(1000+INT(($N$4-(index(split(G87,"":""),1)*60+index(split(G87,"":""),2 )))/0.2+1)*$N$5,"""")"),"")</f>
        <v/>
      </c>
      <c r="I87" s="16" t="str">
        <f t="shared" ca="1" si="9"/>
        <v/>
      </c>
      <c r="J87" s="16" t="str">
        <f t="shared" si="10"/>
        <v/>
      </c>
      <c r="K87" s="16" t="str">
        <f t="shared" si="11"/>
        <v/>
      </c>
      <c r="L87" s="16"/>
    </row>
    <row r="88" spans="1:12" ht="14.5" x14ac:dyDescent="0.35">
      <c r="A88" s="16"/>
      <c r="B88" s="16"/>
      <c r="C88" s="16"/>
      <c r="D88" s="16"/>
      <c r="E88" s="22" t="str">
        <f ca="1">IFERROR(__xludf.dummyfunction("iferror(1000+INT(($N$2-(index(split(D88,"":""),1)*60+index(split(D88,"":""),2 )))/0.2+1)*$N$3,"""")"),"")</f>
        <v/>
      </c>
      <c r="F88" s="16" t="str">
        <f t="shared" ca="1" si="8"/>
        <v/>
      </c>
      <c r="G88" s="16"/>
      <c r="H88" s="22" t="str">
        <f ca="1">IFERROR(__xludf.dummyfunction("iferror(1000+INT(($N$4-(index(split(G88,"":""),1)*60+index(split(G88,"":""),2 )))/0.2+1)*$N$5,"""")"),"")</f>
        <v/>
      </c>
      <c r="I88" s="16" t="str">
        <f t="shared" ca="1" si="9"/>
        <v/>
      </c>
      <c r="J88" s="16" t="str">
        <f t="shared" si="10"/>
        <v/>
      </c>
      <c r="K88" s="16" t="str">
        <f t="shared" si="11"/>
        <v/>
      </c>
      <c r="L88" s="16"/>
    </row>
    <row r="89" spans="1:12" ht="14.5" x14ac:dyDescent="0.35">
      <c r="A89" s="16"/>
      <c r="B89" s="16"/>
      <c r="C89" s="16"/>
      <c r="D89" s="16"/>
      <c r="E89" s="22" t="str">
        <f ca="1">IFERROR(__xludf.dummyfunction("iferror(1000+INT(($N$2-(index(split(D89,"":""),1)*60+index(split(D89,"":""),2 )))/0.2+1)*$N$3,"""")"),"")</f>
        <v/>
      </c>
      <c r="F89" s="16" t="str">
        <f t="shared" ca="1" si="8"/>
        <v/>
      </c>
      <c r="G89" s="16"/>
      <c r="H89" s="22" t="str">
        <f ca="1">IFERROR(__xludf.dummyfunction("iferror(1000+INT(($N$4-(index(split(G89,"":""),1)*60+index(split(G89,"":""),2 )))/0.2+1)*$N$5,"""")"),"")</f>
        <v/>
      </c>
      <c r="I89" s="16" t="str">
        <f t="shared" ca="1" si="9"/>
        <v/>
      </c>
      <c r="J89" s="16" t="str">
        <f t="shared" si="10"/>
        <v/>
      </c>
      <c r="K89" s="16" t="str">
        <f t="shared" si="11"/>
        <v/>
      </c>
      <c r="L89" s="16"/>
    </row>
    <row r="90" spans="1:12" ht="14.5" x14ac:dyDescent="0.35">
      <c r="A90" s="16"/>
      <c r="B90" s="16"/>
      <c r="C90" s="16"/>
      <c r="D90" s="16"/>
      <c r="E90" s="22" t="str">
        <f ca="1">IFERROR(__xludf.dummyfunction("iferror(1000+INT(($N$2-(index(split(D90,"":""),1)*60+index(split(D90,"":""),2 )))/0.2+1)*$N$3,"""")"),"")</f>
        <v/>
      </c>
      <c r="F90" s="16" t="str">
        <f t="shared" ca="1" si="8"/>
        <v/>
      </c>
      <c r="G90" s="16"/>
      <c r="H90" s="22" t="str">
        <f ca="1">IFERROR(__xludf.dummyfunction("iferror(1000+INT(($N$4-(index(split(G90,"":""),1)*60+index(split(G90,"":""),2 )))/0.2+1)*$N$5,"""")"),"")</f>
        <v/>
      </c>
      <c r="I90" s="16" t="str">
        <f t="shared" ca="1" si="9"/>
        <v/>
      </c>
      <c r="J90" s="16" t="str">
        <f t="shared" si="10"/>
        <v/>
      </c>
      <c r="K90" s="16" t="str">
        <f t="shared" si="11"/>
        <v/>
      </c>
      <c r="L90" s="16"/>
    </row>
    <row r="91" spans="1:12" ht="14.5" x14ac:dyDescent="0.35">
      <c r="A91" s="16"/>
      <c r="B91" s="16"/>
      <c r="C91" s="16"/>
      <c r="D91" s="16"/>
      <c r="E91" s="22" t="str">
        <f ca="1">IFERROR(__xludf.dummyfunction("iferror(1000+INT(($N$2-(index(split(D91,"":""),1)*60+index(split(D91,"":""),2 )))/0.2+1)*$N$3,"""")"),"")</f>
        <v/>
      </c>
      <c r="F91" s="16" t="str">
        <f t="shared" ca="1" si="8"/>
        <v/>
      </c>
      <c r="G91" s="16"/>
      <c r="H91" s="22" t="str">
        <f ca="1">IFERROR(__xludf.dummyfunction("iferror(1000+INT(($N$4-(index(split(G91,"":""),1)*60+index(split(G91,"":""),2 )))/0.2+1)*$N$5,"""")"),"")</f>
        <v/>
      </c>
      <c r="I91" s="16" t="str">
        <f t="shared" ca="1" si="9"/>
        <v/>
      </c>
      <c r="J91" s="16" t="str">
        <f t="shared" si="10"/>
        <v/>
      </c>
      <c r="K91" s="16" t="str">
        <f t="shared" si="11"/>
        <v/>
      </c>
      <c r="L91" s="16"/>
    </row>
    <row r="92" spans="1:12" ht="14.5" x14ac:dyDescent="0.35">
      <c r="A92" s="16"/>
      <c r="B92" s="16"/>
      <c r="C92" s="16"/>
      <c r="D92" s="16"/>
      <c r="E92" s="22" t="str">
        <f ca="1">IFERROR(__xludf.dummyfunction("iferror(1000+INT(($N$2-(index(split(D92,"":""),1)*60+index(split(D92,"":""),2 )))/0.2+1)*$N$3,"""")"),"")</f>
        <v/>
      </c>
      <c r="F92" s="16" t="str">
        <f t="shared" ca="1" si="8"/>
        <v/>
      </c>
      <c r="G92" s="16"/>
      <c r="H92" s="22" t="str">
        <f ca="1">IFERROR(__xludf.dummyfunction("iferror(1000+INT(($N$4-(index(split(G92,"":""),1)*60+index(split(G92,"":""),2 )))/0.2+1)*$N$5,"""")"),"")</f>
        <v/>
      </c>
      <c r="I92" s="16" t="str">
        <f t="shared" ca="1" si="9"/>
        <v/>
      </c>
      <c r="J92" s="16" t="str">
        <f t="shared" si="10"/>
        <v/>
      </c>
      <c r="K92" s="16" t="str">
        <f t="shared" si="11"/>
        <v/>
      </c>
      <c r="L92" s="16"/>
    </row>
    <row r="93" spans="1:12" ht="14.5" x14ac:dyDescent="0.35">
      <c r="A93" s="16"/>
      <c r="B93" s="16"/>
      <c r="C93" s="16"/>
      <c r="D93" s="16"/>
      <c r="E93" s="22" t="str">
        <f ca="1">IFERROR(__xludf.dummyfunction("iferror(1000+INT(($N$2-(index(split(D93,"":""),1)*60+index(split(D93,"":""),2 )))/0.2+1)*$N$3,"""")"),"")</f>
        <v/>
      </c>
      <c r="F93" s="16" t="str">
        <f t="shared" ca="1" si="8"/>
        <v/>
      </c>
      <c r="G93" s="16"/>
      <c r="H93" s="22" t="str">
        <f ca="1">IFERROR(__xludf.dummyfunction("iferror(1000+INT(($N$4-(index(split(G93,"":""),1)*60+index(split(G93,"":""),2 )))/0.2+1)*$N$5,"""")"),"")</f>
        <v/>
      </c>
      <c r="I93" s="16" t="str">
        <f t="shared" ca="1" si="9"/>
        <v/>
      </c>
      <c r="J93" s="16" t="str">
        <f t="shared" si="10"/>
        <v/>
      </c>
      <c r="K93" s="16" t="str">
        <f t="shared" si="11"/>
        <v/>
      </c>
      <c r="L93" s="16"/>
    </row>
    <row r="94" spans="1:12" ht="14.5" x14ac:dyDescent="0.35">
      <c r="A94" s="16"/>
      <c r="B94" s="16"/>
      <c r="C94" s="16"/>
      <c r="D94" s="16"/>
      <c r="E94" s="22" t="str">
        <f ca="1">IFERROR(__xludf.dummyfunction("iferror(1000+INT(($N$2-(index(split(D94,"":""),1)*60+index(split(D94,"":""),2 )))/0.2+1)*$N$3,"""")"),"")</f>
        <v/>
      </c>
      <c r="F94" s="16" t="str">
        <f t="shared" ca="1" si="8"/>
        <v/>
      </c>
      <c r="G94" s="16"/>
      <c r="H94" s="22" t="str">
        <f ca="1">IFERROR(__xludf.dummyfunction("iferror(1000+INT(($N$4-(index(split(G94,"":""),1)*60+index(split(G94,"":""),2 )))/0.2+1)*$N$5,"""")"),"")</f>
        <v/>
      </c>
      <c r="I94" s="16" t="str">
        <f t="shared" ca="1" si="9"/>
        <v/>
      </c>
      <c r="J94" s="16" t="str">
        <f t="shared" si="10"/>
        <v/>
      </c>
      <c r="K94" s="16" t="str">
        <f t="shared" si="11"/>
        <v/>
      </c>
      <c r="L94" s="16"/>
    </row>
    <row r="95" spans="1:12" ht="14.5" x14ac:dyDescent="0.35">
      <c r="A95" s="16"/>
      <c r="B95" s="16"/>
      <c r="C95" s="16"/>
      <c r="D95" s="16"/>
      <c r="E95" s="22" t="str">
        <f ca="1">IFERROR(__xludf.dummyfunction("iferror(1000+INT(($N$2-(index(split(D95,"":""),1)*60+index(split(D95,"":""),2 )))/0.2+1)*$N$3,"""")"),"")</f>
        <v/>
      </c>
      <c r="F95" s="16" t="str">
        <f t="shared" ca="1" si="8"/>
        <v/>
      </c>
      <c r="G95" s="16"/>
      <c r="H95" s="22" t="str">
        <f ca="1">IFERROR(__xludf.dummyfunction("iferror(1000+INT(($N$4-(index(split(G95,"":""),1)*60+index(split(G95,"":""),2 )))/0.2+1)*$N$5,"""")"),"")</f>
        <v/>
      </c>
      <c r="I95" s="16" t="str">
        <f t="shared" ca="1" si="9"/>
        <v/>
      </c>
      <c r="J95" s="16" t="str">
        <f t="shared" si="10"/>
        <v/>
      </c>
      <c r="K95" s="16" t="str">
        <f t="shared" si="11"/>
        <v/>
      </c>
      <c r="L95" s="16"/>
    </row>
    <row r="96" spans="1:12" ht="14.5" x14ac:dyDescent="0.35">
      <c r="A96" s="16"/>
      <c r="B96" s="16"/>
      <c r="C96" s="16"/>
      <c r="D96" s="16"/>
      <c r="E96" s="22" t="str">
        <f ca="1">IFERROR(__xludf.dummyfunction("iferror(1000+INT(($N$2-(index(split(D96,"":""),1)*60+index(split(D96,"":""),2 )))/0.2+1)*$N$3,"""")"),"")</f>
        <v/>
      </c>
      <c r="F96" s="16" t="str">
        <f t="shared" ca="1" si="8"/>
        <v/>
      </c>
      <c r="G96" s="16"/>
      <c r="H96" s="22" t="str">
        <f ca="1">IFERROR(__xludf.dummyfunction("iferror(1000+INT(($N$4-(index(split(G96,"":""),1)*60+index(split(G96,"":""),2 )))/0.2+1)*$N$5,"""")"),"")</f>
        <v/>
      </c>
      <c r="I96" s="16" t="str">
        <f t="shared" ca="1" si="9"/>
        <v/>
      </c>
      <c r="J96" s="16" t="str">
        <f t="shared" si="10"/>
        <v/>
      </c>
      <c r="K96" s="16" t="str">
        <f t="shared" si="11"/>
        <v/>
      </c>
      <c r="L96" s="16"/>
    </row>
    <row r="97" spans="1:12" ht="14.5" x14ac:dyDescent="0.35">
      <c r="A97" s="16"/>
      <c r="B97" s="16"/>
      <c r="C97" s="16"/>
      <c r="D97" s="16"/>
      <c r="E97" s="22" t="str">
        <f ca="1">IFERROR(__xludf.dummyfunction("iferror(1000+INT(($N$2-(index(split(D97,"":""),1)*60+index(split(D97,"":""),2 )))/0.2+1)*$N$3,"""")"),"")</f>
        <v/>
      </c>
      <c r="F97" s="16" t="str">
        <f t="shared" ca="1" si="8"/>
        <v/>
      </c>
      <c r="G97" s="16"/>
      <c r="H97" s="22" t="str">
        <f ca="1">IFERROR(__xludf.dummyfunction("iferror(1000+INT(($N$4-(index(split(G97,"":""),1)*60+index(split(G97,"":""),2 )))/0.2+1)*$N$5,"""")"),"")</f>
        <v/>
      </c>
      <c r="I97" s="16" t="str">
        <f t="shared" ca="1" si="9"/>
        <v/>
      </c>
      <c r="J97" s="16" t="str">
        <f t="shared" si="10"/>
        <v/>
      </c>
      <c r="K97" s="16" t="str">
        <f t="shared" si="11"/>
        <v/>
      </c>
      <c r="L97" s="16"/>
    </row>
    <row r="98" spans="1:12" ht="14.5" x14ac:dyDescent="0.35">
      <c r="A98" s="16"/>
      <c r="B98" s="16"/>
      <c r="C98" s="16"/>
      <c r="D98" s="16"/>
      <c r="E98" s="22" t="str">
        <f ca="1">IFERROR(__xludf.dummyfunction("iferror(1000+INT(($N$2-(index(split(D98,"":""),1)*60+index(split(D98,"":""),2 )))/0.2+1)*$N$3,"""")"),"")</f>
        <v/>
      </c>
      <c r="F98" s="16" t="str">
        <f t="shared" ref="F98:F129" ca="1" si="12">IFERROR(_xlfn.RANK.EQ(E98,E:E),"")</f>
        <v/>
      </c>
      <c r="G98" s="16"/>
      <c r="H98" s="22" t="str">
        <f ca="1">IFERROR(__xludf.dummyfunction("iferror(1000+INT(($N$4-(index(split(G98,"":""),1)*60+index(split(G98,"":""),2 )))/0.2+1)*$N$5,"""")"),"")</f>
        <v/>
      </c>
      <c r="I98" s="16" t="str">
        <f t="shared" ref="I98:I129" ca="1" si="13">IFERROR(_xlfn.RANK.EQ(H98,H:H),"")</f>
        <v/>
      </c>
      <c r="J98" s="16" t="str">
        <f t="shared" si="10"/>
        <v/>
      </c>
      <c r="K98" s="16" t="str">
        <f t="shared" ref="K98:K129" si="14">IFERROR(_xlfn.RANK.EQ(J98,J:J),"")</f>
        <v/>
      </c>
      <c r="L98" s="16"/>
    </row>
    <row r="99" spans="1:12" ht="14.5" x14ac:dyDescent="0.35">
      <c r="A99" s="16"/>
      <c r="B99" s="16"/>
      <c r="C99" s="16"/>
      <c r="D99" s="16"/>
      <c r="E99" s="22" t="str">
        <f ca="1">IFERROR(__xludf.dummyfunction("iferror(1000+INT(($N$2-(index(split(D99,"":""),1)*60+index(split(D99,"":""),2 )))/0.2+1)*$N$3,"""")"),"")</f>
        <v/>
      </c>
      <c r="F99" s="16" t="str">
        <f t="shared" ca="1" si="12"/>
        <v/>
      </c>
      <c r="G99" s="16"/>
      <c r="H99" s="22" t="str">
        <f ca="1">IFERROR(__xludf.dummyfunction("iferror(1000+INT(($N$4-(index(split(G99,"":""),1)*60+index(split(G99,"":""),2 )))/0.2+1)*$N$5,"""")"),"")</f>
        <v/>
      </c>
      <c r="I99" s="16" t="str">
        <f t="shared" ca="1" si="13"/>
        <v/>
      </c>
      <c r="J99" s="16" t="str">
        <f t="shared" si="10"/>
        <v/>
      </c>
      <c r="K99" s="16" t="str">
        <f t="shared" si="14"/>
        <v/>
      </c>
      <c r="L99" s="16"/>
    </row>
    <row r="100" spans="1:12" ht="14.5" x14ac:dyDescent="0.35">
      <c r="A100" s="16"/>
      <c r="B100" s="16"/>
      <c r="C100" s="16"/>
      <c r="D100" s="16"/>
      <c r="E100" s="22" t="str">
        <f ca="1">IFERROR(__xludf.dummyfunction("iferror(1000+INT(($N$2-(index(split(D100,"":""),1)*60+index(split(D100,"":""),2 )))/0.2+1)*$N$3,"""")"),"")</f>
        <v/>
      </c>
      <c r="F100" s="16" t="str">
        <f t="shared" ca="1" si="12"/>
        <v/>
      </c>
      <c r="G100" s="16"/>
      <c r="H100" s="22" t="str">
        <f ca="1">IFERROR(__xludf.dummyfunction("iferror(1000+INT(($N$4-(index(split(G100,"":""),1)*60+index(split(G100,"":""),2 )))/0.2+1)*$N$5,"""")"),"")</f>
        <v/>
      </c>
      <c r="I100" s="16" t="str">
        <f t="shared" ca="1" si="13"/>
        <v/>
      </c>
      <c r="J100" s="16" t="str">
        <f t="shared" si="10"/>
        <v/>
      </c>
      <c r="K100" s="16" t="str">
        <f t="shared" si="14"/>
        <v/>
      </c>
      <c r="L100" s="16"/>
    </row>
    <row r="101" spans="1:12" ht="14.5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4.5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4.5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4.5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4.5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4.5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4.5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4.5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4.5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4.5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4.5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4.5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4.5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4.5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4.5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4.5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4.5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4.5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4.5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4.5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4.5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4.5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4.5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4.5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4.5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4.5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4.5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4.5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4.5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4.5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4.5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4.5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4.5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4.5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4.5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4.5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4.5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4.5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4.5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4.5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4.5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4.5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4.5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4.5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4.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4.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4.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4.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4.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4.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4.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4.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4.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4.5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4.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4.5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4.5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4.5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4.5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4.5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4.5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4.5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ht="14.5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4.5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ht="14.5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ht="14.5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4.5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4.5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5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4.5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4.5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4.5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4.5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4.5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4.5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4.5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4.5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4.5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4.5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4.5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4.5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4.5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4.5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4.5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4.5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4.5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4.5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4.5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4.5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4.5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4.5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4.5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4.5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4.5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4.5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4.5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4.5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4.5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4.5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4.5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4.5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4.5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4.5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4.5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4.5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4.5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4.5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4.5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4.5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4.5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4.5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4.5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4.5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4.5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4.5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4.5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4.5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4.5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4.5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4.5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4.5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4.5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4.5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4.5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4.5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4.5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4.5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4.5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4.5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4.5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4.5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4.5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4.5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5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4.5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4.5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4.5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4.5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4.5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4.5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4.5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4.5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4.5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4.5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4.5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4.5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4.5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4.5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4.5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4.5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4.5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4.5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4.5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4.5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4.5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4.5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4.5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4.5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4.5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4.5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4.5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4.5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4.5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4.5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4.5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4.5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4.5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4.5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4.5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4.5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4.5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4.5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4.5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4.5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4.5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4.5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4.5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4.5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4.5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4.5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4.5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4.5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4.5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4.5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4.5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4.5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4.5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4.5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4.5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4.5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4.5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4.5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4.5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4.5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4.5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4.5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4.5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4.5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4.5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4.5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4.5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4.5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4.5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4.5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4.5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4.5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4.5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4.5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4.5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4.5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4.5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4.5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4.5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4.5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4.5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4.5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4.5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4.5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4.5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4.5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4.5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4.5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4.5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4.5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4.5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4.5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4.5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4.5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4.5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4.5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4.5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4.5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4.5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4.5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4.5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4.5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4.5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4.5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4.5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4.5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4.5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4.5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4.5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4.5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4.5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4.5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4.5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4.5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4.5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4.5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4.5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4.5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4.5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4.5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4.5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4.5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4.5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4.5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4.5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4.5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4.5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4.5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4.5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4.5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4.5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4.5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4.5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4.5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4.5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4.5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4.5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4.5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4.5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4.5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4.5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4.5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4.5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4.5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4.5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ht="14.5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ht="14.5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ht="14.5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ht="14.5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ht="14.5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ht="14.5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ht="14.5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ht="14.5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ht="14.5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ht="14.5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ht="14.5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ht="14.5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ht="14.5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ht="14.5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ht="14.5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ht="14.5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ht="14.5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ht="14.5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ht="14.5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ht="14.5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ht="14.5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ht="14.5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ht="14.5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ht="14.5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ht="14.5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ht="14.5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ht="14.5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ht="14.5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ht="14.5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ht="14.5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ht="14.5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ht="14.5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ht="14.5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ht="14.5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ht="14.5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ht="14.5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ht="14.5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ht="14.5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ht="14.5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ht="14.5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ht="14.5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ht="14.5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ht="14.5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ht="14.5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ht="14.5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ht="14.5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ht="14.5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ht="14.5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ht="14.5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ht="14.5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ht="14.5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ht="14.5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ht="14.5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ht="14.5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ht="14.5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ht="14.5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ht="14.5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ht="14.5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 ht="14.5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 ht="14.5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 ht="14.5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 ht="14.5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 ht="14.5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 ht="14.5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 ht="14.5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 ht="14.5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 ht="14.5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 ht="14.5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 ht="14.5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 ht="14.5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 ht="14.5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 ht="14.5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 ht="14.5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 ht="14.5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 ht="14.5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 ht="14.5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 ht="14.5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 ht="14.5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 ht="14.5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 ht="14.5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 ht="14.5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 ht="14.5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 ht="14.5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 ht="14.5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 ht="14.5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 ht="14.5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 ht="14.5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 ht="14.5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 ht="14.5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 ht="14.5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 ht="14.5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 ht="14.5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 ht="14.5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 ht="14.5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 ht="14.5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 ht="14.5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 ht="14.5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 ht="14.5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 ht="14.5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 ht="14.5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 ht="14.5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 ht="14.5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 ht="14.5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 ht="14.5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 ht="14.5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 ht="14.5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 ht="14.5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 ht="14.5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 ht="14.5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 ht="14.5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 ht="14.5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 ht="14.5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 ht="14.5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 ht="14.5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 ht="14.5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 ht="14.5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 ht="14.5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 ht="14.5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 ht="14.5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 ht="14.5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 ht="14.5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 ht="14.5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 ht="14.5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 ht="14.5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 ht="14.5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 ht="14.5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 ht="14.5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 ht="14.5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 ht="14.5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 ht="14.5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 ht="14.5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 ht="14.5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 ht="14.5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 ht="14.5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 ht="14.5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 ht="14.5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 ht="14.5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 ht="14.5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 ht="14.5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 ht="14.5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 ht="14.5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ht="14.5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ht="14.5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ht="14.5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ht="14.5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ht="14.5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ht="14.5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ht="14.5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ht="14.5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 ht="14.5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 ht="14.5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 ht="14.5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 ht="14.5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 ht="14.5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 ht="14.5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 ht="14.5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 ht="14.5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 ht="14.5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 ht="14.5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 ht="14.5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 ht="14.5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 ht="14.5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 ht="14.5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 ht="14.5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 ht="14.5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 ht="14.5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 ht="14.5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 ht="14.5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 ht="14.5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 ht="14.5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 ht="14.5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 ht="14.5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 ht="14.5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 ht="14.5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 ht="14.5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 ht="14.5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 ht="14.5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 ht="14.5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 ht="14.5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 ht="14.5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 ht="14.5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 ht="14.5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 ht="14.5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 ht="14.5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 ht="14.5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 ht="14.5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 ht="14.5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 ht="14.5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 ht="14.5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 ht="14.5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 ht="14.5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 ht="14.5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 ht="14.5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 ht="14.5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 ht="14.5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 ht="14.5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 ht="14.5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 ht="14.5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 ht="14.5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 ht="14.5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 ht="14.5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 ht="14.5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 ht="14.5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 ht="14.5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 ht="14.5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 ht="14.5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 ht="14.5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 ht="14.5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 ht="14.5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 ht="14.5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 ht="14.5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 ht="14.5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 ht="14.5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 ht="14.5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 ht="14.5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 ht="14.5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 ht="14.5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 ht="14.5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 ht="14.5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 ht="14.5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 ht="14.5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 ht="14.5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 ht="14.5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 ht="14.5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 ht="14.5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 ht="14.5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 ht="14.5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 ht="14.5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 ht="14.5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 ht="14.5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 ht="14.5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 ht="14.5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 ht="14.5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 ht="14.5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 ht="14.5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 ht="14.5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 ht="14.5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 ht="14.5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 ht="14.5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 ht="14.5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 ht="14.5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 ht="14.5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 ht="14.5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 ht="14.5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 ht="14.5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 ht="14.5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 ht="14.5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 ht="14.5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 ht="14.5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 ht="14.5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 ht="14.5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 ht="14.5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 ht="14.5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 ht="14.5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 ht="14.5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 ht="14.5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 ht="14.5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 ht="14.5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 ht="14.5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 ht="14.5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 ht="14.5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 ht="14.5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 ht="14.5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 ht="14.5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 ht="14.5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 ht="14.5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 ht="14.5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 ht="14.5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 ht="14.5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 ht="14.5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 ht="14.5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 ht="14.5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 ht="14.5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 ht="14.5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 ht="14.5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 ht="14.5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 ht="14.5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 ht="14.5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 ht="14.5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 ht="14.5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 ht="14.5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 ht="14.5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 ht="14.5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 ht="14.5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 ht="14.5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 ht="14.5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 ht="14.5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 ht="14.5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 ht="14.5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 ht="14.5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 ht="14.5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 ht="14.5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 ht="14.5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 ht="14.5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 ht="14.5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 ht="14.5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 ht="14.5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 ht="14.5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 ht="14.5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 ht="14.5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 ht="14.5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 ht="14.5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 ht="14.5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 ht="14.5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 ht="14.5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 ht="14.5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 ht="14.5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 ht="14.5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 ht="14.5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 ht="14.5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 ht="14.5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 ht="14.5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 ht="14.5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 ht="14.5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 ht="14.5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 ht="14.5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 ht="14.5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 ht="14.5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 ht="14.5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 ht="14.5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 ht="14.5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 ht="14.5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 ht="14.5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 ht="14.5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 ht="14.5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 ht="14.5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 ht="14.5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 ht="14.5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 ht="14.5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 ht="14.5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 ht="14.5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 ht="14.5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 ht="14.5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 ht="14.5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 ht="14.5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 ht="14.5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 ht="14.5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 ht="14.5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 ht="14.5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 ht="14.5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 ht="14.5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 ht="14.5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 ht="14.5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 ht="14.5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 ht="14.5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 ht="14.5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 ht="14.5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 ht="14.5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 ht="14.5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 ht="14.5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 ht="14.5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 ht="14.5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 ht="14.5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 ht="14.5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 ht="14.5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 ht="14.5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 ht="14.5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 ht="14.5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 ht="14.5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 ht="14.5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 ht="14.5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 ht="14.5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 ht="14.5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 ht="14.5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 ht="14.5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 ht="14.5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 ht="14.5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 ht="14.5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 ht="14.5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 ht="14.5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 ht="14.5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 ht="14.5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 ht="14.5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 ht="14.5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 ht="14.5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 ht="14.5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 ht="14.5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 ht="14.5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 ht="14.5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 ht="14.5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 ht="14.5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 ht="14.5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 ht="14.5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 ht="14.5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 ht="14.5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 ht="14.5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 ht="14.5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 ht="14.5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 ht="14.5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 ht="14.5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 ht="14.5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 ht="14.5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 ht="14.5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 ht="14.5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 ht="14.5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 ht="14.5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 ht="14.5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 ht="14.5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 ht="14.5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 ht="14.5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 ht="14.5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 ht="14.5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 ht="14.5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 ht="14.5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 ht="14.5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 ht="14.5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 ht="14.5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 ht="14.5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 ht="14.5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 ht="14.5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 ht="14.5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 ht="14.5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 ht="14.5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 ht="14.5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 ht="14.5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 ht="14.5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 ht="14.5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 ht="14.5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 ht="14.5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 ht="14.5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 ht="14.5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 ht="14.5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 ht="14.5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 ht="14.5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 ht="14.5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 ht="14.5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 ht="14.5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 ht="14.5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 ht="14.5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 ht="14.5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 ht="14.5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 ht="14.5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 ht="14.5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 ht="14.5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 ht="14.5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 ht="14.5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 ht="14.5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 ht="14.5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 ht="14.5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 ht="14.5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 ht="14.5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 ht="14.5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 ht="14.5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 ht="14.5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 ht="14.5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 ht="14.5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 ht="14.5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 ht="14.5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 ht="14.5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 ht="14.5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 ht="14.5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 ht="14.5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 ht="14.5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 ht="14.5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 ht="14.5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 ht="14.5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 ht="14.5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 ht="14.5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 ht="14.5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 ht="14.5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 ht="14.5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 ht="14.5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 ht="14.5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 ht="14.5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 ht="14.5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 ht="14.5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 ht="14.5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 ht="14.5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 ht="14.5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 ht="14.5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 ht="14.5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 ht="14.5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 ht="14.5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 ht="14.5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 ht="14.5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 ht="14.5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 ht="14.5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 ht="14.5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 ht="14.5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 ht="14.5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 ht="14.5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 ht="14.5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 ht="14.5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 ht="14.5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 ht="14.5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 ht="14.5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 ht="14.5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 ht="14.5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 ht="14.5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 ht="14.5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 ht="14.5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 ht="14.5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 ht="14.5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 ht="14.5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 ht="14.5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 ht="14.5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 ht="14.5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 ht="14.5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 ht="14.5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 ht="14.5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 ht="14.5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 ht="14.5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 ht="14.5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 ht="14.5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 ht="14.5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 ht="14.5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 ht="14.5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 ht="14.5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 ht="14.5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 ht="14.5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 ht="14.5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 ht="14.5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 ht="14.5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 ht="14.5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 ht="14.5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 ht="14.5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 ht="14.5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 ht="14.5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 ht="14.5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 ht="14.5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 ht="14.5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 ht="14.5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 ht="14.5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 ht="14.5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 ht="14.5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 ht="14.5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 ht="14.5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 ht="14.5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 ht="14.5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 ht="14.5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 ht="14.5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 ht="14.5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 ht="14.5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 ht="14.5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 ht="14.5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 ht="14.5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 ht="14.5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 ht="14.5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 ht="14.5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 ht="14.5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 ht="14.5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 ht="14.5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 ht="14.5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 ht="14.5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 ht="14.5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 ht="14.5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</sheetData>
  <sortState xmlns:xlrd2="http://schemas.microsoft.com/office/spreadsheetml/2017/richdata2" ref="A2:L17">
    <sortCondition ref="K2:K17"/>
  </sortState>
  <printOptions horizontalCentered="1" gridLines="1"/>
  <pageMargins left="0.7" right="0.7" top="1.1437499999999998" bottom="1.1437499999999998" header="0.75" footer="0.75"/>
  <pageSetup paperSize="0" fitToWidth="0" fitToHeight="0" pageOrder="overThenDown" orientation="landscape" horizontalDpi="0" verticalDpi="0" copies="0"/>
  <headerFooter alignWithMargins="0"/>
  <ignoredErrors>
    <ignoredError sqref="J2:J16 J18:J49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'Scoring tables'!$A$2:$A$57</xm:f>
          </x14:formula1>
          <xm:sqref>L1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workbookViewId="0">
      <selection activeCell="C8" sqref="C8"/>
    </sheetView>
  </sheetViews>
  <sheetFormatPr defaultRowHeight="15.75" customHeight="1" x14ac:dyDescent="0.35"/>
  <cols>
    <col min="1" max="1" width="10.4140625" style="25" customWidth="1"/>
    <col min="2" max="2" width="23.58203125" style="25" customWidth="1"/>
    <col min="3" max="3" width="22.4140625" style="25" customWidth="1"/>
    <col min="4" max="11" width="8.4140625" style="25" customWidth="1"/>
    <col min="12" max="1024" width="11.6640625" style="25" customWidth="1"/>
    <col min="1025" max="16384" width="8.6640625" style="25"/>
  </cols>
  <sheetData>
    <row r="1" spans="1:14" ht="30.75" customHeight="1" x14ac:dyDescent="0.35">
      <c r="A1" s="20" t="s">
        <v>0</v>
      </c>
      <c r="B1" s="20" t="s">
        <v>26</v>
      </c>
      <c r="C1" s="20" t="s">
        <v>27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16</v>
      </c>
    </row>
    <row r="2" spans="1:14" ht="14.5" x14ac:dyDescent="0.35">
      <c r="A2" s="16">
        <f ca="1">IFERROR(__xludf.dummyfunction("""COMPUTED_VALUE"""),143)</f>
        <v>143</v>
      </c>
      <c r="B2" s="13" t="str">
        <f ca="1">IFERROR(__xludf.dummyfunction("""COMPUTED_VALUE"""),"Lucie Jepson")</f>
        <v>Lucie Jepson</v>
      </c>
      <c r="C2" s="5" t="str">
        <f ca="1">IFERROR(__xludf.dummyfunction("""COMPUTED_VALUE"""),"Tarleton Academy")</f>
        <v>Tarleton Academy</v>
      </c>
      <c r="D2" s="16" t="s">
        <v>294</v>
      </c>
      <c r="E2" s="22">
        <f ca="1">IFERROR(__xludf.dummyfunction("iferror(1000+INT(($N$2-(index(split(D3,"":""),1)*60+index(split(D3,"":""),2 )))/0.2+1)*$N$3,"""")"),1076)</f>
        <v>1076</v>
      </c>
      <c r="F2" s="16">
        <f ca="1">IFERROR(_xlfn.RANK.EQ(E2,E:E),"")</f>
        <v>2</v>
      </c>
      <c r="G2" s="16" t="s">
        <v>295</v>
      </c>
      <c r="H2" s="22">
        <f ca="1">IFERROR(__xludf.dummyfunction("iferror(1000+INT(($N$4-(index(split(G3,"":""),1)*60+index(split(G3,"":""),2 )))/0.2+1)*$N$5,"""")"),930)</f>
        <v>930</v>
      </c>
      <c r="I2" s="16">
        <f ca="1">IFERROR(_xlfn.RANK.EQ(H2,H:H),"")</f>
        <v>4</v>
      </c>
      <c r="J2" s="22">
        <f ca="1">IF(AND(D2="", G2=""), "", E2+H2)</f>
        <v>2006</v>
      </c>
      <c r="K2" s="16">
        <f ca="1">IFERROR(_xlfn.RANK.EQ(J2,J:J),"")</f>
        <v>1</v>
      </c>
      <c r="L2" s="16"/>
      <c r="M2" s="21" t="s">
        <v>38</v>
      </c>
      <c r="N2" s="26">
        <f>VLOOKUP($L$1,'Scoring tables'!$A$2:$K$57,10,0)</f>
        <v>71</v>
      </c>
    </row>
    <row r="3" spans="1:14" ht="14.5" x14ac:dyDescent="0.35">
      <c r="A3" s="16">
        <f ca="1">IFERROR(__xludf.dummyfunction("""COMPUTED_VALUE"""),148)</f>
        <v>148</v>
      </c>
      <c r="B3" s="5" t="str">
        <f ca="1">IFERROR(__xludf.dummyfunction("""COMPUTED_VALUE"""),"Lola Simpson")</f>
        <v>Lola Simpson</v>
      </c>
      <c r="C3" s="5" t="str">
        <f ca="1">IFERROR(__xludf.dummyfunction("""COMPUTED_VALUE"""),"Clifton College")</f>
        <v>Clifton College</v>
      </c>
      <c r="D3" s="23" t="s">
        <v>301</v>
      </c>
      <c r="E3" s="22">
        <f ca="1">IFERROR(__xludf.dummyfunction("iferror(1000+INT(($N$2-(index(split(D8,"":""),1)*60+index(split(D8,"":""),2 )))/0.2+1)*$N$3,"""")"),804)</f>
        <v>804</v>
      </c>
      <c r="F3" s="16">
        <f ca="1">IFERROR(_xlfn.RANK.EQ(E3,E:E),"")</f>
        <v>7</v>
      </c>
      <c r="G3" s="16" t="s">
        <v>302</v>
      </c>
      <c r="H3" s="22">
        <f ca="1">IFERROR(__xludf.dummyfunction("iferror(1000+INT(($N$4-(index(split(G8,"":""),1)*60+index(split(G8,"":""),2 )))/0.2+1)*$N$5,"""")"),1201)</f>
        <v>1201</v>
      </c>
      <c r="I3" s="16">
        <f ca="1">IFERROR(_xlfn.RANK.EQ(H3,H:H),"")</f>
        <v>2</v>
      </c>
      <c r="J3" s="22">
        <f ca="1">IF(AND(D3="", G3=""), "", E3+H3)</f>
        <v>2005</v>
      </c>
      <c r="K3" s="16">
        <f ca="1">IFERROR(_xlfn.RANK.EQ(J3,J:J),"")</f>
        <v>2</v>
      </c>
      <c r="L3" s="16"/>
      <c r="M3" s="21" t="s">
        <v>39</v>
      </c>
      <c r="N3" s="26">
        <f>VLOOKUP($L$1,'Scoring tables'!$A$2:$K$57,11,0)</f>
        <v>4</v>
      </c>
    </row>
    <row r="4" spans="1:14" ht="14.5" x14ac:dyDescent="0.35">
      <c r="A4" s="16">
        <f ca="1">IFERROR(__xludf.dummyfunction("""COMPUTED_VALUE"""),147)</f>
        <v>147</v>
      </c>
      <c r="B4" s="5" t="str">
        <f ca="1">IFERROR(__xludf.dummyfunction("""COMPUTED_VALUE"""),"Darcy Simpson")</f>
        <v>Darcy Simpson</v>
      </c>
      <c r="C4" s="5" t="str">
        <f ca="1">IFERROR(__xludf.dummyfunction("""COMPUTED_VALUE"""),"Clifton College")</f>
        <v>Clifton College</v>
      </c>
      <c r="D4" s="16" t="s">
        <v>299</v>
      </c>
      <c r="E4" s="22">
        <f ca="1">IFERROR(__xludf.dummyfunction("iferror(1000+INT(($N$2-(index(split(D7,"":""),1)*60+index(split(D7,"":""),2 )))/0.2+1)*$N$3,"""")"),776)</f>
        <v>776</v>
      </c>
      <c r="F4" s="16">
        <f ca="1">IFERROR(_xlfn.RANK.EQ(E4,E:E),"")</f>
        <v>9</v>
      </c>
      <c r="G4" s="16" t="s">
        <v>300</v>
      </c>
      <c r="H4" s="22">
        <f ca="1">IFERROR(__xludf.dummyfunction("iferror(1000+INT(($N$4-(index(split(G7,"":""),1)*60+index(split(G7,"":""),2 )))/0.2+1)*$N$5,"""")"),1205)</f>
        <v>1205</v>
      </c>
      <c r="I4" s="16">
        <f ca="1">IFERROR(_xlfn.RANK.EQ(H4,H:H),"")</f>
        <v>1</v>
      </c>
      <c r="J4" s="22">
        <f t="shared" ref="J4:J23" ca="1" si="0">IF(AND(D4="", G4=""), "", E4+H4)</f>
        <v>1981</v>
      </c>
      <c r="K4" s="16">
        <f ca="1">IFERROR(_xlfn.RANK.EQ(J4,J:J),"")</f>
        <v>3</v>
      </c>
      <c r="L4" s="16"/>
      <c r="M4" s="21" t="s">
        <v>31</v>
      </c>
      <c r="N4" s="26">
        <f>VLOOKUP($L$1,'Scoring tables'!$A$2:$K$57,5,0)</f>
        <v>375</v>
      </c>
    </row>
    <row r="5" spans="1:14" ht="14.5" x14ac:dyDescent="0.35">
      <c r="A5" s="16">
        <f ca="1">IFERROR(__xludf.dummyfunction("""COMPUTED_VALUE"""),146)</f>
        <v>146</v>
      </c>
      <c r="B5" s="5" t="str">
        <f ca="1">IFERROR(__xludf.dummyfunction("""COMPUTED_VALUE"""),"Lucy Beardsmore")</f>
        <v>Lucy Beardsmore</v>
      </c>
      <c r="C5" s="5" t="str">
        <f ca="1">IFERROR(__xludf.dummyfunction("""COMPUTED_VALUE"""),"Newark Academy")</f>
        <v>Newark Academy</v>
      </c>
      <c r="D5" s="16" t="s">
        <v>269</v>
      </c>
      <c r="E5" s="22">
        <f ca="1">IFERROR(__xludf.dummyfunction("iferror(1000+INT(($N$2-(index(split(D6,"":""),1)*60+index(split(D6,"":""),2 )))/0.2+1)*$N$3,"""")"),992)</f>
        <v>992</v>
      </c>
      <c r="F5" s="16">
        <f ca="1">IFERROR(_xlfn.RANK.EQ(E5,E:E),"")</f>
        <v>5</v>
      </c>
      <c r="G5" s="16" t="s">
        <v>298</v>
      </c>
      <c r="H5" s="22">
        <f ca="1">IFERROR(__xludf.dummyfunction("iferror(1000+INT(($N$4-(index(split(G6,"":""),1)*60+index(split(G6,"":""),2 )))/0.2+1)*$N$5,"""")"),903)</f>
        <v>903</v>
      </c>
      <c r="I5" s="16">
        <f ca="1">IFERROR(_xlfn.RANK.EQ(H5,H:H),"")</f>
        <v>5</v>
      </c>
      <c r="J5" s="22">
        <f t="shared" ca="1" si="0"/>
        <v>1895</v>
      </c>
      <c r="K5" s="16">
        <f ca="1">IFERROR(_xlfn.RANK.EQ(J5,J:J),"")</f>
        <v>4</v>
      </c>
      <c r="L5" s="16"/>
      <c r="M5" s="21" t="s">
        <v>32</v>
      </c>
      <c r="N5" s="26">
        <f>VLOOKUP($L$1,'Scoring tables'!$A$2:$K$57,6,0)</f>
        <v>1</v>
      </c>
    </row>
    <row r="6" spans="1:14" ht="14.5" x14ac:dyDescent="0.35">
      <c r="A6" s="16">
        <f ca="1">IFERROR(__xludf.dummyfunction("""COMPUTED_VALUE"""),151)</f>
        <v>151</v>
      </c>
      <c r="B6" s="5" t="str">
        <f ca="1">IFERROR(__xludf.dummyfunction("""COMPUTED_VALUE"""),"Rebecca Batchelor")</f>
        <v>Rebecca Batchelor</v>
      </c>
      <c r="C6" s="5" t="str">
        <f ca="1">IFERROR(__xludf.dummyfunction("""COMPUTED_VALUE"""),"St Christophers CE High School")</f>
        <v>St Christophers CE High School</v>
      </c>
      <c r="D6" s="16" t="s">
        <v>307</v>
      </c>
      <c r="E6" s="22">
        <f ca="1">IFERROR(__xludf.dummyfunction("iferror(1000+INT(($N$2-(index(split(D11,"":""),1)*60+index(split(D11,"":""),2 )))/0.2+1)*$N$3,"""")"),1004)</f>
        <v>1004</v>
      </c>
      <c r="F6" s="16">
        <f ca="1">IFERROR(_xlfn.RANK.EQ(E6,E:E),"")</f>
        <v>4</v>
      </c>
      <c r="G6" s="16" t="s">
        <v>308</v>
      </c>
      <c r="H6" s="22">
        <f ca="1">IFERROR(__xludf.dummyfunction("iferror(1000+INT(($N$4-(index(split(G11,"":""),1)*60+index(split(G11,"":""),2 )))/0.2+1)*$N$5,"""")"),853)</f>
        <v>853</v>
      </c>
      <c r="I6" s="16">
        <f ca="1">IFERROR(_xlfn.RANK.EQ(H6,H:H),"")</f>
        <v>6</v>
      </c>
      <c r="J6" s="22">
        <f t="shared" ca="1" si="0"/>
        <v>1857</v>
      </c>
      <c r="K6" s="16">
        <f ca="1">IFERROR(_xlfn.RANK.EQ(J6,J:J),"")</f>
        <v>5</v>
      </c>
      <c r="L6" s="16"/>
    </row>
    <row r="7" spans="1:14" ht="14.5" x14ac:dyDescent="0.35">
      <c r="A7" s="16">
        <f ca="1">IFERROR(__xludf.dummyfunction("""COMPUTED_VALUE"""),150)</f>
        <v>150</v>
      </c>
      <c r="B7" s="5" t="str">
        <f ca="1">IFERROR(__xludf.dummyfunction("""COMPUTED_VALUE"""),"Daniela De Silva")</f>
        <v>Daniela De Silva</v>
      </c>
      <c r="C7" s="5" t="str">
        <f ca="1">IFERROR(__xludf.dummyfunction("""COMPUTED_VALUE"""),"Lancaster Girls Grammar School")</f>
        <v>Lancaster Girls Grammar School</v>
      </c>
      <c r="D7" s="16" t="s">
        <v>305</v>
      </c>
      <c r="E7" s="22">
        <f ca="1">IFERROR(__xludf.dummyfunction("iferror(1000+INT(($N$2-(index(split(D10,"":""),1)*60+index(split(D10,"":""),2 )))/0.2+1)*$N$3,"""")"),1040)</f>
        <v>1040</v>
      </c>
      <c r="F7" s="16">
        <f ca="1">IFERROR(_xlfn.RANK.EQ(E7,E:E),"")</f>
        <v>3</v>
      </c>
      <c r="G7" s="16" t="s">
        <v>306</v>
      </c>
      <c r="H7" s="22">
        <f ca="1">IFERROR(__xludf.dummyfunction("iferror(1000+INT(($N$4-(index(split(G10,"":""),1)*60+index(split(G10,"":""),2 )))/0.2+1)*$N$5,"""")"),796)</f>
        <v>796</v>
      </c>
      <c r="I7" s="16">
        <f ca="1">IFERROR(_xlfn.RANK.EQ(H7,H:H),"")</f>
        <v>8</v>
      </c>
      <c r="J7" s="22">
        <f t="shared" ca="1" si="0"/>
        <v>1836</v>
      </c>
      <c r="K7" s="16">
        <f ca="1">IFERROR(_xlfn.RANK.EQ(J7,J:J),"")</f>
        <v>6</v>
      </c>
      <c r="L7" s="16"/>
    </row>
    <row r="8" spans="1:14" ht="14.5" x14ac:dyDescent="0.35">
      <c r="A8" s="16">
        <f ca="1">IFERROR(__xludf.dummyfunction("Query(Entries!$A$2:$U$1205,""select A,C,D where B = '""&amp;L1&amp;""'"")"),142)</f>
        <v>142</v>
      </c>
      <c r="B8" s="5" t="str">
        <f ca="1">IFERROR(__xludf.dummyfunction("""COMPUTED_VALUE"""),"Camilla Hart")</f>
        <v>Camilla Hart</v>
      </c>
      <c r="C8" s="5" t="str">
        <f ca="1">IFERROR(__xludf.dummyfunction("""COMPUTED_VALUE"""),"Giggleswick School")</f>
        <v>Giggleswick School</v>
      </c>
      <c r="D8" s="16" t="s">
        <v>292</v>
      </c>
      <c r="E8" s="22">
        <f ca="1">IFERROR(__xludf.dummyfunction("iferror(1000+INT(($N$2-(index(split(D2,"":""),1)*60+index(split(D2,"":""),2 )))/0.2+1)*$N$3,"""")"),800)</f>
        <v>800</v>
      </c>
      <c r="F8" s="16">
        <f ca="1">IFERROR(_xlfn.RANK.EQ(E8,E:E),"")</f>
        <v>8</v>
      </c>
      <c r="G8" s="22" t="s">
        <v>293</v>
      </c>
      <c r="H8" s="22">
        <f ca="1">IFERROR(__xludf.dummyfunction("iferror(1000+INT(($N$4-(index(split(G2,"":""),1)*60+index(split(G2,"":""),2 )))/0.2+1)*$N$5,"""")"),1029)</f>
        <v>1029</v>
      </c>
      <c r="I8" s="16">
        <f ca="1">IFERROR(_xlfn.RANK.EQ(H8,H:H),"")</f>
        <v>3</v>
      </c>
      <c r="J8" s="22">
        <f t="shared" ca="1" si="0"/>
        <v>1829</v>
      </c>
      <c r="K8" s="16">
        <f ca="1">IFERROR(_xlfn.RANK.EQ(J8,J:J),"")</f>
        <v>7</v>
      </c>
      <c r="L8" s="16"/>
    </row>
    <row r="9" spans="1:14" ht="14.5" x14ac:dyDescent="0.35">
      <c r="A9" s="16">
        <f ca="1">IFERROR(__xludf.dummyfunction("""COMPUTED_VALUE"""),149)</f>
        <v>149</v>
      </c>
      <c r="B9" s="5" t="str">
        <f ca="1">IFERROR(__xludf.dummyfunction("""COMPUTED_VALUE"""),"Alexis Aspin")</f>
        <v>Alexis Aspin</v>
      </c>
      <c r="C9" s="5" t="str">
        <f ca="1">IFERROR(__xludf.dummyfunction("""COMPUTED_VALUE"""),"Lancaster Girls Grammar School")</f>
        <v>Lancaster Girls Grammar School</v>
      </c>
      <c r="D9" s="16" t="s">
        <v>303</v>
      </c>
      <c r="E9" s="22">
        <f ca="1">IFERROR(__xludf.dummyfunction("iferror(1000+INT(($N$2-(index(split(D9,"":""),1)*60+index(split(D9,"":""),2 )))/0.2+1)*$N$3,"""")"),1104)</f>
        <v>1104</v>
      </c>
      <c r="F9" s="16">
        <f ca="1">IFERROR(_xlfn.RANK.EQ(E9,E:E),"")</f>
        <v>1</v>
      </c>
      <c r="G9" s="16" t="s">
        <v>304</v>
      </c>
      <c r="H9" s="22">
        <f ca="1">IFERROR(__xludf.dummyfunction("iferror(1000+INT(($N$4-(index(split(G9,"":""),1)*60+index(split(G9,"":""),2 )))/0.2+1)*$N$5,"""")"),694)</f>
        <v>694</v>
      </c>
      <c r="I9" s="16">
        <f ca="1">IFERROR(_xlfn.RANK.EQ(H9,H:H),"")</f>
        <v>10</v>
      </c>
      <c r="J9" s="22">
        <f t="shared" ca="1" si="0"/>
        <v>1798</v>
      </c>
      <c r="K9" s="16">
        <f ca="1">IFERROR(_xlfn.RANK.EQ(J9,J:J),"")</f>
        <v>8</v>
      </c>
      <c r="L9" s="16"/>
    </row>
    <row r="10" spans="1:14" ht="14.5" x14ac:dyDescent="0.35">
      <c r="A10" s="16">
        <f ca="1">IFERROR(__xludf.dummyfunction("""COMPUTED_VALUE"""),154)</f>
        <v>154</v>
      </c>
      <c r="B10" s="5" t="str">
        <f ca="1">IFERROR(__xludf.dummyfunction("""COMPUTED_VALUE"""),"Chloe Whitehouse")</f>
        <v>Chloe Whitehouse</v>
      </c>
      <c r="C10" s="5" t="str">
        <f ca="1">IFERROR(__xludf.dummyfunction("""COMPUTED_VALUE"""),"Hodgson Academy College")</f>
        <v>Hodgson Academy College</v>
      </c>
      <c r="D10" s="16" t="s">
        <v>313</v>
      </c>
      <c r="E10" s="22">
        <f ca="1">IFERROR(__xludf.dummyfunction("iferror(1000+INT(($N$2-(index(split(D14,"":""),1)*60+index(split(D14,"":""),2 )))/0.2+1)*$N$3,"""")"),924)</f>
        <v>924</v>
      </c>
      <c r="F10" s="16">
        <f ca="1">IFERROR(_xlfn.RANK.EQ(E10,E:E),"")</f>
        <v>6</v>
      </c>
      <c r="G10" s="16" t="s">
        <v>314</v>
      </c>
      <c r="H10" s="22">
        <f ca="1">IFERROR(__xludf.dummyfunction("iferror(1000+INT(($N$4-(index(split(G14,"":""),1)*60+index(split(G14,"":""),2 )))/0.2+1)*$N$5,"""")"),621)</f>
        <v>621</v>
      </c>
      <c r="I10" s="16">
        <f ca="1">IFERROR(_xlfn.RANK.EQ(H10,H:H),"")</f>
        <v>12</v>
      </c>
      <c r="J10" s="22">
        <f t="shared" ca="1" si="0"/>
        <v>1545</v>
      </c>
      <c r="K10" s="16">
        <f ca="1">IFERROR(_xlfn.RANK.EQ(J10,J:J),"")</f>
        <v>9</v>
      </c>
      <c r="L10" s="16"/>
    </row>
    <row r="11" spans="1:14" ht="14.5" x14ac:dyDescent="0.35">
      <c r="A11" s="16">
        <f ca="1">IFERROR(__xludf.dummyfunction("""COMPUTED_VALUE"""),155)</f>
        <v>155</v>
      </c>
      <c r="B11" s="5" t="str">
        <f ca="1">IFERROR(__xludf.dummyfunction("""COMPUTED_VALUE"""),"Lara Collin")</f>
        <v>Lara Collin</v>
      </c>
      <c r="C11" s="5" t="str">
        <f ca="1">IFERROR(__xludf.dummyfunction("""COMPUTED_VALUE"""),"Queen Elizabeth School")</f>
        <v>Queen Elizabeth School</v>
      </c>
      <c r="D11" s="16" t="s">
        <v>315</v>
      </c>
      <c r="E11" s="22">
        <f ca="1">IFERROR(__xludf.dummyfunction("iferror(1000+INT(($N$2-(index(split(D15,"":""),1)*60+index(split(D15,"":""),2 )))/0.2+1)*$N$3,"""")"),696)</f>
        <v>696</v>
      </c>
      <c r="F11" s="16">
        <f ca="1">IFERROR(_xlfn.RANK.EQ(E11,E:E),"")</f>
        <v>10</v>
      </c>
      <c r="G11" s="16" t="s">
        <v>316</v>
      </c>
      <c r="H11" s="22">
        <f ca="1">IFERROR(__xludf.dummyfunction("iferror(1000+INT(($N$4-(index(split(G15,"":""),1)*60+index(split(G15,"":""),2 )))/0.2+1)*$N$5,"""")"),823)</f>
        <v>823</v>
      </c>
      <c r="I11" s="16">
        <f ca="1">IFERROR(_xlfn.RANK.EQ(H11,H:H),"")</f>
        <v>7</v>
      </c>
      <c r="J11" s="22">
        <f t="shared" ca="1" si="0"/>
        <v>1519</v>
      </c>
      <c r="K11" s="16">
        <f ca="1">IFERROR(_xlfn.RANK.EQ(J11,J:J),"")</f>
        <v>10</v>
      </c>
      <c r="L11" s="16"/>
    </row>
    <row r="12" spans="1:14" ht="14.5" x14ac:dyDescent="0.35">
      <c r="A12" s="16">
        <f ca="1">IFERROR(__xludf.dummyfunction("""COMPUTED_VALUE"""),144)</f>
        <v>144</v>
      </c>
      <c r="B12" s="13" t="str">
        <f ca="1">IFERROR(__xludf.dummyfunction("""COMPUTED_VALUE"""),"Matilda-mae Matthews")</f>
        <v>Matilda-mae Matthews</v>
      </c>
      <c r="C12" s="5" t="str">
        <f ca="1">IFERROR(__xludf.dummyfunction("""COMPUTED_VALUE"""),"Rawlett Community Sports College")</f>
        <v>Rawlett Community Sports College</v>
      </c>
      <c r="D12" s="16" t="s">
        <v>296</v>
      </c>
      <c r="E12" s="22">
        <f ca="1">IFERROR(__xludf.dummyfunction("iferror(1000+INT(($N$2-(index(split(D4,"":""),1)*60+index(split(D4,"":""),2 )))/0.2+1)*$N$3,"""")"),552)</f>
        <v>552</v>
      </c>
      <c r="F12" s="16">
        <f ca="1">IFERROR(_xlfn.RANK.EQ(E12,E:E),"")</f>
        <v>11</v>
      </c>
      <c r="G12" s="16" t="s">
        <v>297</v>
      </c>
      <c r="H12" s="22">
        <f ca="1">IFERROR(__xludf.dummyfunction("iferror(1000+INT(($N$4-(index(split(G4,"":""),1)*60+index(split(G4,"":""),2 )))/0.2+1)*$N$5,"""")"),730)</f>
        <v>730</v>
      </c>
      <c r="I12" s="16">
        <f ca="1">IFERROR(_xlfn.RANK.EQ(H12,H:H),"")</f>
        <v>9</v>
      </c>
      <c r="J12" s="22">
        <f t="shared" ca="1" si="0"/>
        <v>1282</v>
      </c>
      <c r="K12" s="16">
        <f ca="1">IFERROR(_xlfn.RANK.EQ(J12,J:J),"")</f>
        <v>11</v>
      </c>
      <c r="L12" s="16"/>
    </row>
    <row r="13" spans="1:14" ht="14.5" x14ac:dyDescent="0.35">
      <c r="A13" s="16">
        <f ca="1">IFERROR(__xludf.dummyfunction("""COMPUTED_VALUE"""),152)</f>
        <v>152</v>
      </c>
      <c r="B13" s="5" t="str">
        <f ca="1">IFERROR(__xludf.dummyfunction("""COMPUTED_VALUE"""),"Elizabeth Cartwrigh-Terry")</f>
        <v>Elizabeth Cartwrigh-Terry</v>
      </c>
      <c r="C13" s="5" t="str">
        <f ca="1">IFERROR(__xludf.dummyfunction("""COMPUTED_VALUE"""),"Stonyhurst College")</f>
        <v>Stonyhurst College</v>
      </c>
      <c r="D13" s="16" t="s">
        <v>309</v>
      </c>
      <c r="E13" s="22">
        <f ca="1">IFERROR(__xludf.dummyfunction("iferror(1000+INT(($N$2-(index(split(D12,"":""),1)*60+index(split(D12,"":""),2 )))/0.2+1)*$N$3,"""")"),368)</f>
        <v>368</v>
      </c>
      <c r="F13" s="16">
        <f ca="1">IFERROR(_xlfn.RANK.EQ(E13,E:E),"")</f>
        <v>13</v>
      </c>
      <c r="G13" s="16" t="s">
        <v>310</v>
      </c>
      <c r="H13" s="22">
        <f ca="1">IFERROR(__xludf.dummyfunction("iferror(1000+INT(($N$4-(index(split(G12,"":""),1)*60+index(split(G12,"":""),2 )))/0.2+1)*$N$5,"""")"),666)</f>
        <v>666</v>
      </c>
      <c r="I13" s="16">
        <f ca="1">IFERROR(_xlfn.RANK.EQ(H13,H:H),"")</f>
        <v>11</v>
      </c>
      <c r="J13" s="22">
        <f t="shared" ca="1" si="0"/>
        <v>1034</v>
      </c>
      <c r="K13" s="16">
        <f ca="1">IFERROR(_xlfn.RANK.EQ(J13,J:J),"")</f>
        <v>12</v>
      </c>
      <c r="L13" s="16"/>
    </row>
    <row r="14" spans="1:14" ht="14.5" x14ac:dyDescent="0.35">
      <c r="A14" s="16">
        <f ca="1">IFERROR(__xludf.dummyfunction("""COMPUTED_VALUE"""),153)</f>
        <v>153</v>
      </c>
      <c r="B14" s="5" t="str">
        <f ca="1">IFERROR(__xludf.dummyfunction("""COMPUTED_VALUE"""),"Victoria Baron")</f>
        <v>Victoria Baron</v>
      </c>
      <c r="C14" s="5" t="str">
        <f ca="1">IFERROR(__xludf.dummyfunction("""COMPUTED_VALUE"""),"Stonyhurst College")</f>
        <v>Stonyhurst College</v>
      </c>
      <c r="D14" s="16" t="s">
        <v>311</v>
      </c>
      <c r="E14" s="22">
        <f ca="1">IFERROR(__xludf.dummyfunction("iferror(1000+INT(($N$2-(index(split(D13,"":""),1)*60+index(split(D13,"":""),2 )))/0.2+1)*$N$3,"""")"),492)</f>
        <v>492</v>
      </c>
      <c r="F14" s="16">
        <f ca="1">IFERROR(_xlfn.RANK.EQ(E14,E:E),"")</f>
        <v>12</v>
      </c>
      <c r="G14" s="16" t="s">
        <v>312</v>
      </c>
      <c r="H14" s="22">
        <f ca="1">IFERROR(__xludf.dummyfunction("iferror(1000+INT(($N$4-(index(split(G13,"":""),1)*60+index(split(G13,"":""),2 )))/0.2+1)*$N$5,"""")"),417)</f>
        <v>417</v>
      </c>
      <c r="I14" s="16">
        <f ca="1">IFERROR(_xlfn.RANK.EQ(H14,H:H),"")</f>
        <v>13</v>
      </c>
      <c r="J14" s="22">
        <f t="shared" ca="1" si="0"/>
        <v>909</v>
      </c>
      <c r="K14" s="16">
        <f ca="1">IFERROR(_xlfn.RANK.EQ(J14,J:J),"")</f>
        <v>13</v>
      </c>
      <c r="L14" s="16"/>
    </row>
    <row r="15" spans="1:14" ht="14.5" x14ac:dyDescent="0.35">
      <c r="A15" s="28">
        <f ca="1">IFERROR(__xludf.dummyfunction("""COMPUTED_VALUE"""),145)</f>
        <v>145</v>
      </c>
      <c r="B15" s="31" t="str">
        <f ca="1">IFERROR(__xludf.dummyfunction("""COMPUTED_VALUE"""),"Ziggy How")</f>
        <v>Ziggy How</v>
      </c>
      <c r="C15" s="29" t="str">
        <f ca="1">IFERROR(__xludf.dummyfunction("""COMPUTED_VALUE"""),"Brighton College")</f>
        <v>Brighton College</v>
      </c>
      <c r="D15" s="28"/>
      <c r="E15" s="30" t="str">
        <f ca="1">IFERROR(__xludf.dummyfunction("iferror(1000+INT(($N$2-(index(split(D5,"":""),1)*60+index(split(D5,"":""),2 )))/0.2+1)*$N$3,"""")"),"")</f>
        <v/>
      </c>
      <c r="F15" s="28" t="str">
        <f ca="1">IFERROR(_xlfn.RANK.EQ(E15,E:E),"")</f>
        <v/>
      </c>
      <c r="G15" s="28"/>
      <c r="H15" s="30" t="str">
        <f ca="1">IFERROR(__xludf.dummyfunction("iferror(1000+INT(($N$4-(index(split(G5,"":""),1)*60+index(split(G5,"":""),2 )))/0.2+1)*$N$5,"""")"),"")</f>
        <v/>
      </c>
      <c r="I15" s="28" t="str">
        <f ca="1">IFERROR(_xlfn.RANK.EQ(H15,H:H),"")</f>
        <v/>
      </c>
      <c r="J15" s="30" t="str">
        <f t="shared" si="0"/>
        <v/>
      </c>
      <c r="K15" s="28" t="s">
        <v>444</v>
      </c>
      <c r="L15" s="16"/>
    </row>
    <row r="16" spans="1:14" ht="14.5" x14ac:dyDescent="0.35">
      <c r="A16" s="16"/>
      <c r="B16" s="16"/>
      <c r="C16" s="16"/>
      <c r="D16" s="16"/>
      <c r="E16" s="22" t="str">
        <f ca="1">IFERROR(__xludf.dummyfunction("iferror(1000+INT(($N$2-(index(split(D16,"":""),1)*60+index(split(D16,"":""),2 )))/0.2+1)*$N$3,"""")"),"")</f>
        <v/>
      </c>
      <c r="F16" s="16" t="str">
        <f t="shared" ref="F2:F33" ca="1" si="1">IFERROR(_xlfn.RANK.EQ(E16,E:E),"")</f>
        <v/>
      </c>
      <c r="G16" s="16"/>
      <c r="H16" s="22" t="str">
        <f ca="1">IFERROR(__xludf.dummyfunction("iferror(1000+INT(($N$4-(index(split(G16,"":""),1)*60+index(split(G16,"":""),2 )))/0.2+1)*$N$5,"""")"),"")</f>
        <v/>
      </c>
      <c r="I16" s="16" t="str">
        <f t="shared" ref="I2:I33" ca="1" si="2">IFERROR(_xlfn.RANK.EQ(H16,H:H),"")</f>
        <v/>
      </c>
      <c r="J16" s="22" t="str">
        <f t="shared" si="0"/>
        <v/>
      </c>
      <c r="K16" s="16" t="str">
        <f t="shared" ref="K2:K33" si="3">IFERROR(_xlfn.RANK.EQ(J16,J:J),"")</f>
        <v/>
      </c>
      <c r="L16" s="16"/>
    </row>
    <row r="17" spans="1:12" ht="14.5" x14ac:dyDescent="0.35">
      <c r="A17" s="16"/>
      <c r="B17" s="16"/>
      <c r="C17" s="16"/>
      <c r="D17" s="16"/>
      <c r="E17" s="22" t="str">
        <f ca="1">IFERROR(__xludf.dummyfunction("iferror(1000+INT(($N$2-(index(split(D17,"":""),1)*60+index(split(D17,"":""),2 )))/0.2+1)*$N$3,"""")"),"")</f>
        <v/>
      </c>
      <c r="F17" s="16" t="str">
        <f t="shared" ca="1" si="1"/>
        <v/>
      </c>
      <c r="G17" s="16"/>
      <c r="H17" s="22" t="str">
        <f ca="1">IFERROR(__xludf.dummyfunction("iferror(1000+INT(($N$4-(index(split(G17,"":""),1)*60+index(split(G17,"":""),2 )))/0.2+1)*$N$5,"""")"),"")</f>
        <v/>
      </c>
      <c r="I17" s="16" t="str">
        <f t="shared" ca="1" si="2"/>
        <v/>
      </c>
      <c r="J17" s="22" t="str">
        <f t="shared" si="0"/>
        <v/>
      </c>
      <c r="K17" s="16" t="str">
        <f t="shared" si="3"/>
        <v/>
      </c>
      <c r="L17" s="16"/>
    </row>
    <row r="18" spans="1:12" ht="14.5" x14ac:dyDescent="0.35">
      <c r="A18" s="16"/>
      <c r="B18" s="16"/>
      <c r="C18" s="16"/>
      <c r="D18" s="16"/>
      <c r="E18" s="22" t="str">
        <f ca="1">IFERROR(__xludf.dummyfunction("iferror(1000+INT(($N$2-(index(split(D18,"":""),1)*60+index(split(D18,"":""),2 )))/0.2+1)*$N$3,"""")"),"")</f>
        <v/>
      </c>
      <c r="F18" s="16" t="str">
        <f t="shared" ca="1" si="1"/>
        <v/>
      </c>
      <c r="G18" s="16"/>
      <c r="H18" s="22" t="str">
        <f ca="1">IFERROR(__xludf.dummyfunction("iferror(1000+INT(($N$4-(index(split(G18,"":""),1)*60+index(split(G18,"":""),2 )))/0.2+1)*$N$5,"""")"),"")</f>
        <v/>
      </c>
      <c r="I18" s="16" t="str">
        <f t="shared" ca="1" si="2"/>
        <v/>
      </c>
      <c r="J18" s="22" t="str">
        <f t="shared" si="0"/>
        <v/>
      </c>
      <c r="K18" s="16" t="str">
        <f t="shared" si="3"/>
        <v/>
      </c>
      <c r="L18" s="16"/>
    </row>
    <row r="19" spans="1:12" ht="14.5" x14ac:dyDescent="0.35">
      <c r="A19" s="16"/>
      <c r="B19" s="16"/>
      <c r="C19" s="16"/>
      <c r="D19" s="16"/>
      <c r="E19" s="22" t="str">
        <f ca="1">IFERROR(__xludf.dummyfunction("iferror(1000+INT(($N$2-(index(split(D19,"":""),1)*60+index(split(D19,"":""),2 )))/0.2+1)*$N$3,"""")"),"")</f>
        <v/>
      </c>
      <c r="F19" s="16" t="str">
        <f t="shared" ca="1" si="1"/>
        <v/>
      </c>
      <c r="G19" s="16"/>
      <c r="H19" s="22" t="str">
        <f ca="1">IFERROR(__xludf.dummyfunction("iferror(1000+INT(($N$4-(index(split(G19,"":""),1)*60+index(split(G19,"":""),2 )))/0.2+1)*$N$5,"""")"),"")</f>
        <v/>
      </c>
      <c r="I19" s="16" t="str">
        <f t="shared" ca="1" si="2"/>
        <v/>
      </c>
      <c r="J19" s="22" t="str">
        <f t="shared" si="0"/>
        <v/>
      </c>
      <c r="K19" s="16" t="str">
        <f t="shared" si="3"/>
        <v/>
      </c>
      <c r="L19" s="16"/>
    </row>
    <row r="20" spans="1:12" ht="14.5" x14ac:dyDescent="0.35">
      <c r="A20" s="16"/>
      <c r="B20" s="16"/>
      <c r="C20" s="16"/>
      <c r="D20" s="16"/>
      <c r="E20" s="22" t="str">
        <f ca="1">IFERROR(__xludf.dummyfunction("iferror(1000+INT(($N$2-(index(split(D20,"":""),1)*60+index(split(D20,"":""),2 )))/0.2+1)*$N$3,"""")"),"")</f>
        <v/>
      </c>
      <c r="F20" s="16" t="str">
        <f t="shared" ca="1" si="1"/>
        <v/>
      </c>
      <c r="G20" s="16"/>
      <c r="H20" s="22" t="str">
        <f ca="1">IFERROR(__xludf.dummyfunction("iferror(1000+INT(($N$4-(index(split(G20,"":""),1)*60+index(split(G20,"":""),2 )))/0.2+1)*$N$5,"""")"),"")</f>
        <v/>
      </c>
      <c r="I20" s="16" t="str">
        <f t="shared" ca="1" si="2"/>
        <v/>
      </c>
      <c r="J20" s="22" t="str">
        <f t="shared" si="0"/>
        <v/>
      </c>
      <c r="K20" s="16" t="str">
        <f t="shared" si="3"/>
        <v/>
      </c>
      <c r="L20" s="16"/>
    </row>
    <row r="21" spans="1:12" ht="14.5" x14ac:dyDescent="0.35">
      <c r="A21" s="16"/>
      <c r="B21" s="16"/>
      <c r="C21" s="16"/>
      <c r="D21" s="16"/>
      <c r="E21" s="22" t="str">
        <f ca="1">IFERROR(__xludf.dummyfunction("iferror(1000+INT(($N$2-(index(split(D21,"":""),1)*60+index(split(D21,"":""),2 )))/0.2+1)*$N$3,"""")"),"")</f>
        <v/>
      </c>
      <c r="F21" s="16" t="str">
        <f t="shared" ca="1" si="1"/>
        <v/>
      </c>
      <c r="G21" s="16"/>
      <c r="H21" s="22" t="str">
        <f ca="1">IFERROR(__xludf.dummyfunction("iferror(1000+INT(($N$4-(index(split(G21,"":""),1)*60+index(split(G21,"":""),2 )))/0.2+1)*$N$5,"""")"),"")</f>
        <v/>
      </c>
      <c r="I21" s="16" t="str">
        <f t="shared" ca="1" si="2"/>
        <v/>
      </c>
      <c r="J21" s="22" t="str">
        <f t="shared" si="0"/>
        <v/>
      </c>
      <c r="K21" s="16" t="str">
        <f t="shared" si="3"/>
        <v/>
      </c>
      <c r="L21" s="16"/>
    </row>
    <row r="22" spans="1:12" ht="14.5" x14ac:dyDescent="0.35">
      <c r="A22" s="16"/>
      <c r="B22" s="16"/>
      <c r="C22" s="16"/>
      <c r="D22" s="16"/>
      <c r="E22" s="22" t="str">
        <f ca="1">IFERROR(__xludf.dummyfunction("iferror(1000+INT(($N$2-(index(split(D22,"":""),1)*60+index(split(D22,"":""),2 )))/0.2+1)*$N$3,"""")"),"")</f>
        <v/>
      </c>
      <c r="F22" s="16" t="str">
        <f t="shared" ca="1" si="1"/>
        <v/>
      </c>
      <c r="G22" s="16"/>
      <c r="H22" s="22" t="str">
        <f ca="1">IFERROR(__xludf.dummyfunction("iferror(1000+INT(($N$4-(index(split(G22,"":""),1)*60+index(split(G22,"":""),2 )))/0.2+1)*$N$5,"""")"),"")</f>
        <v/>
      </c>
      <c r="I22" s="16" t="str">
        <f t="shared" ca="1" si="2"/>
        <v/>
      </c>
      <c r="J22" s="22" t="str">
        <f t="shared" si="0"/>
        <v/>
      </c>
      <c r="K22" s="16" t="str">
        <f t="shared" si="3"/>
        <v/>
      </c>
      <c r="L22" s="16"/>
    </row>
    <row r="23" spans="1:12" ht="14.5" x14ac:dyDescent="0.35">
      <c r="A23" s="16"/>
      <c r="B23" s="16"/>
      <c r="C23" s="16"/>
      <c r="D23" s="16"/>
      <c r="E23" s="22" t="str">
        <f ca="1">IFERROR(__xludf.dummyfunction("iferror(1000+INT(($N$2-(index(split(D23,"":""),1)*60+index(split(D23,"":""),2 )))/0.2+1)*$N$3,"""")"),"")</f>
        <v/>
      </c>
      <c r="F23" s="16" t="str">
        <f t="shared" ca="1" si="1"/>
        <v/>
      </c>
      <c r="G23" s="16"/>
      <c r="H23" s="22" t="str">
        <f ca="1">IFERROR(__xludf.dummyfunction("iferror(1000+INT(($N$4-(index(split(G23,"":""),1)*60+index(split(G23,"":""),2 )))/0.2+1)*$N$5,"""")"),"")</f>
        <v/>
      </c>
      <c r="I23" s="16" t="str">
        <f t="shared" ca="1" si="2"/>
        <v/>
      </c>
      <c r="J23" s="22" t="str">
        <f t="shared" si="0"/>
        <v/>
      </c>
      <c r="K23" s="16" t="str">
        <f t="shared" si="3"/>
        <v/>
      </c>
      <c r="L23" s="16"/>
    </row>
    <row r="24" spans="1:12" ht="14.5" x14ac:dyDescent="0.35">
      <c r="A24" s="16"/>
      <c r="B24" s="16"/>
      <c r="C24" s="16"/>
      <c r="D24" s="16"/>
      <c r="E24" s="22" t="str">
        <f ca="1">IFERROR(__xludf.dummyfunction("iferror(1000+INT(($N$2-(index(split(D24,"":""),1)*60+index(split(D24,"":""),2 )))/0.2+1)*$N$3,"""")"),"")</f>
        <v/>
      </c>
      <c r="F24" s="16" t="str">
        <f t="shared" ca="1" si="1"/>
        <v/>
      </c>
      <c r="G24" s="16"/>
      <c r="H24" s="22" t="str">
        <f ca="1">IFERROR(__xludf.dummyfunction("iferror(1000+INT(($N$4-(index(split(G24,"":""),1)*60+index(split(G24,"":""),2 )))/0.2+1)*$N$5,"""")"),"")</f>
        <v/>
      </c>
      <c r="I24" s="16" t="str">
        <f t="shared" ca="1" si="2"/>
        <v/>
      </c>
      <c r="J24" s="16" t="str">
        <f t="shared" ref="J2:J33" si="4">IF(AND(D24="", G24=""), "", E24+H24)</f>
        <v/>
      </c>
      <c r="K24" s="16" t="str">
        <f t="shared" si="3"/>
        <v/>
      </c>
      <c r="L24" s="16"/>
    </row>
    <row r="25" spans="1:12" ht="14.5" x14ac:dyDescent="0.35">
      <c r="A25" s="16"/>
      <c r="B25" s="16"/>
      <c r="C25" s="16"/>
      <c r="D25" s="16"/>
      <c r="E25" s="22" t="str">
        <f ca="1">IFERROR(__xludf.dummyfunction("iferror(1000+INT(($N$2-(index(split(D25,"":""),1)*60+index(split(D25,"":""),2 )))/0.2+1)*$N$3,"""")"),"")</f>
        <v/>
      </c>
      <c r="F25" s="16" t="str">
        <f t="shared" ca="1" si="1"/>
        <v/>
      </c>
      <c r="G25" s="16"/>
      <c r="H25" s="22" t="str">
        <f ca="1">IFERROR(__xludf.dummyfunction("iferror(1000+INT(($N$4-(index(split(G25,"":""),1)*60+index(split(G25,"":""),2 )))/0.2+1)*$N$5,"""")"),"")</f>
        <v/>
      </c>
      <c r="I25" s="16" t="str">
        <f t="shared" ca="1" si="2"/>
        <v/>
      </c>
      <c r="J25" s="16" t="str">
        <f t="shared" si="4"/>
        <v/>
      </c>
      <c r="K25" s="16" t="str">
        <f t="shared" si="3"/>
        <v/>
      </c>
      <c r="L25" s="16"/>
    </row>
    <row r="26" spans="1:12" ht="14.5" x14ac:dyDescent="0.35">
      <c r="A26" s="16"/>
      <c r="B26" s="16"/>
      <c r="C26" s="16"/>
      <c r="D26" s="16"/>
      <c r="E26" s="22" t="str">
        <f ca="1">IFERROR(__xludf.dummyfunction("iferror(1000+INT(($N$2-(index(split(D26,"":""),1)*60+index(split(D26,"":""),2 )))/0.2+1)*$N$3,"""")"),"")</f>
        <v/>
      </c>
      <c r="F26" s="16" t="str">
        <f t="shared" ca="1" si="1"/>
        <v/>
      </c>
      <c r="G26" s="16"/>
      <c r="H26" s="22" t="str">
        <f ca="1">IFERROR(__xludf.dummyfunction("iferror(1000+INT(($N$4-(index(split(G26,"":""),1)*60+index(split(G26,"":""),2 )))/0.2+1)*$N$5,"""")"),"")</f>
        <v/>
      </c>
      <c r="I26" s="16" t="str">
        <f t="shared" ca="1" si="2"/>
        <v/>
      </c>
      <c r="J26" s="16" t="str">
        <f t="shared" si="4"/>
        <v/>
      </c>
      <c r="K26" s="16" t="str">
        <f t="shared" si="3"/>
        <v/>
      </c>
      <c r="L26" s="16"/>
    </row>
    <row r="27" spans="1:12" ht="14.5" x14ac:dyDescent="0.35">
      <c r="A27" s="16"/>
      <c r="B27" s="16"/>
      <c r="C27" s="16"/>
      <c r="D27" s="16"/>
      <c r="E27" s="22" t="str">
        <f ca="1">IFERROR(__xludf.dummyfunction("iferror(1000+INT(($N$2-(index(split(D27,"":""),1)*60+index(split(D27,"":""),2 )))/0.2+1)*$N$3,"""")"),"")</f>
        <v/>
      </c>
      <c r="F27" s="16" t="str">
        <f t="shared" ca="1" si="1"/>
        <v/>
      </c>
      <c r="G27" s="16"/>
      <c r="H27" s="22" t="str">
        <f ca="1">IFERROR(__xludf.dummyfunction("iferror(1000+INT(($N$4-(index(split(G27,"":""),1)*60+index(split(G27,"":""),2 )))/0.2+1)*$N$5,"""")"),"")</f>
        <v/>
      </c>
      <c r="I27" s="16" t="str">
        <f t="shared" ca="1" si="2"/>
        <v/>
      </c>
      <c r="J27" s="16" t="str">
        <f t="shared" si="4"/>
        <v/>
      </c>
      <c r="K27" s="16" t="str">
        <f t="shared" si="3"/>
        <v/>
      </c>
      <c r="L27" s="16"/>
    </row>
    <row r="28" spans="1:12" ht="14.5" x14ac:dyDescent="0.35">
      <c r="A28" s="16"/>
      <c r="B28" s="16"/>
      <c r="C28" s="16"/>
      <c r="D28" s="16"/>
      <c r="E28" s="22" t="str">
        <f ca="1">IFERROR(__xludf.dummyfunction("iferror(1000+INT(($N$2-(index(split(D28,"":""),1)*60+index(split(D28,"":""),2 )))/0.2+1)*$N$3,"""")"),"")</f>
        <v/>
      </c>
      <c r="F28" s="16" t="str">
        <f t="shared" ca="1" si="1"/>
        <v/>
      </c>
      <c r="G28" s="16"/>
      <c r="H28" s="22" t="str">
        <f ca="1">IFERROR(__xludf.dummyfunction("iferror(1000+INT(($N$4-(index(split(G28,"":""),1)*60+index(split(G28,"":""),2 )))/0.2+1)*$N$5,"""")"),"")</f>
        <v/>
      </c>
      <c r="I28" s="16" t="str">
        <f t="shared" ca="1" si="2"/>
        <v/>
      </c>
      <c r="J28" s="16" t="str">
        <f t="shared" si="4"/>
        <v/>
      </c>
      <c r="K28" s="16" t="str">
        <f t="shared" si="3"/>
        <v/>
      </c>
      <c r="L28" s="16"/>
    </row>
    <row r="29" spans="1:12" ht="14.5" x14ac:dyDescent="0.35">
      <c r="A29" s="16"/>
      <c r="B29" s="16"/>
      <c r="C29" s="16"/>
      <c r="D29" s="16"/>
      <c r="E29" s="22" t="str">
        <f ca="1">IFERROR(__xludf.dummyfunction("iferror(1000+INT(($N$2-(index(split(D29,"":""),1)*60+index(split(D29,"":""),2 )))/0.2+1)*$N$3,"""")"),"")</f>
        <v/>
      </c>
      <c r="F29" s="16" t="str">
        <f t="shared" ca="1" si="1"/>
        <v/>
      </c>
      <c r="G29" s="16"/>
      <c r="H29" s="22" t="str">
        <f ca="1">IFERROR(__xludf.dummyfunction("iferror(1000+INT(($N$4-(index(split(G29,"":""),1)*60+index(split(G29,"":""),2 )))/0.2+1)*$N$5,"""")"),"")</f>
        <v/>
      </c>
      <c r="I29" s="16" t="str">
        <f t="shared" ca="1" si="2"/>
        <v/>
      </c>
      <c r="J29" s="16" t="str">
        <f t="shared" si="4"/>
        <v/>
      </c>
      <c r="K29" s="16" t="str">
        <f t="shared" si="3"/>
        <v/>
      </c>
      <c r="L29" s="16"/>
    </row>
    <row r="30" spans="1:12" ht="14.5" x14ac:dyDescent="0.35">
      <c r="A30" s="16"/>
      <c r="B30" s="16"/>
      <c r="C30" s="16"/>
      <c r="D30" s="16"/>
      <c r="E30" s="22" t="str">
        <f ca="1">IFERROR(__xludf.dummyfunction("iferror(1000+INT(($N$2-(index(split(D30,"":""),1)*60+index(split(D30,"":""),2 )))/0.2+1)*$N$3,"""")"),"")</f>
        <v/>
      </c>
      <c r="F30" s="16" t="str">
        <f t="shared" ca="1" si="1"/>
        <v/>
      </c>
      <c r="G30" s="16"/>
      <c r="H30" s="22" t="str">
        <f ca="1">IFERROR(__xludf.dummyfunction("iferror(1000+INT(($N$4-(index(split(G30,"":""),1)*60+index(split(G30,"":""),2 )))/0.2+1)*$N$5,"""")"),"")</f>
        <v/>
      </c>
      <c r="I30" s="16" t="str">
        <f t="shared" ca="1" si="2"/>
        <v/>
      </c>
      <c r="J30" s="16" t="str">
        <f t="shared" si="4"/>
        <v/>
      </c>
      <c r="K30" s="16" t="str">
        <f t="shared" si="3"/>
        <v/>
      </c>
      <c r="L30" s="16"/>
    </row>
    <row r="31" spans="1:12" ht="14.5" x14ac:dyDescent="0.35">
      <c r="A31" s="16"/>
      <c r="B31" s="16"/>
      <c r="C31" s="16"/>
      <c r="D31" s="16"/>
      <c r="E31" s="22" t="str">
        <f ca="1">IFERROR(__xludf.dummyfunction("iferror(1000+INT(($N$2-(index(split(D31,"":""),1)*60+index(split(D31,"":""),2 )))/0.2+1)*$N$3,"""")"),"")</f>
        <v/>
      </c>
      <c r="F31" s="16" t="str">
        <f t="shared" ca="1" si="1"/>
        <v/>
      </c>
      <c r="G31" s="16"/>
      <c r="H31" s="22" t="str">
        <f ca="1">IFERROR(__xludf.dummyfunction("iferror(1000+INT(($N$4-(index(split(G31,"":""),1)*60+index(split(G31,"":""),2 )))/0.2+1)*$N$5,"""")"),"")</f>
        <v/>
      </c>
      <c r="I31" s="16" t="str">
        <f t="shared" ca="1" si="2"/>
        <v/>
      </c>
      <c r="J31" s="16" t="str">
        <f t="shared" si="4"/>
        <v/>
      </c>
      <c r="K31" s="16" t="str">
        <f t="shared" si="3"/>
        <v/>
      </c>
      <c r="L31" s="16"/>
    </row>
    <row r="32" spans="1:12" ht="14.5" x14ac:dyDescent="0.35">
      <c r="A32" s="16"/>
      <c r="B32" s="16"/>
      <c r="C32" s="16"/>
      <c r="D32" s="16"/>
      <c r="E32" s="22" t="str">
        <f ca="1">IFERROR(__xludf.dummyfunction("iferror(1000+INT(($N$2-(index(split(D32,"":""),1)*60+index(split(D32,"":""),2 )))/0.2+1)*$N$3,"""")"),"")</f>
        <v/>
      </c>
      <c r="F32" s="16" t="str">
        <f t="shared" ca="1" si="1"/>
        <v/>
      </c>
      <c r="G32" s="16"/>
      <c r="H32" s="22" t="str">
        <f ca="1">IFERROR(__xludf.dummyfunction("iferror(1000+INT(($N$4-(index(split(G32,"":""),1)*60+index(split(G32,"":""),2 )))/0.2+1)*$N$5,"""")"),"")</f>
        <v/>
      </c>
      <c r="I32" s="16" t="str">
        <f t="shared" ca="1" si="2"/>
        <v/>
      </c>
      <c r="J32" s="16" t="str">
        <f t="shared" si="4"/>
        <v/>
      </c>
      <c r="K32" s="16" t="str">
        <f t="shared" si="3"/>
        <v/>
      </c>
      <c r="L32" s="16"/>
    </row>
    <row r="33" spans="1:12" ht="14.5" x14ac:dyDescent="0.35">
      <c r="A33" s="16"/>
      <c r="B33" s="16"/>
      <c r="C33" s="16"/>
      <c r="D33" s="16"/>
      <c r="E33" s="22" t="str">
        <f ca="1">IFERROR(__xludf.dummyfunction("iferror(1000+INT(($N$2-(index(split(D33,"":""),1)*60+index(split(D33,"":""),2 )))/0.2+1)*$N$3,"""")"),"")</f>
        <v/>
      </c>
      <c r="F33" s="16" t="str">
        <f t="shared" ca="1" si="1"/>
        <v/>
      </c>
      <c r="G33" s="16"/>
      <c r="H33" s="22" t="str">
        <f ca="1">IFERROR(__xludf.dummyfunction("iferror(1000+INT(($N$4-(index(split(G33,"":""),1)*60+index(split(G33,"":""),2 )))/0.2+1)*$N$5,"""")"),"")</f>
        <v/>
      </c>
      <c r="I33" s="16" t="str">
        <f t="shared" ca="1" si="2"/>
        <v/>
      </c>
      <c r="J33" s="16" t="str">
        <f t="shared" si="4"/>
        <v/>
      </c>
      <c r="K33" s="16" t="str">
        <f t="shared" si="3"/>
        <v/>
      </c>
      <c r="L33" s="16"/>
    </row>
    <row r="34" spans="1:12" ht="14.5" x14ac:dyDescent="0.35">
      <c r="A34" s="16"/>
      <c r="B34" s="16"/>
      <c r="C34" s="16"/>
      <c r="D34" s="16"/>
      <c r="E34" s="22" t="str">
        <f ca="1">IFERROR(__xludf.dummyfunction("iferror(1000+INT(($N$2-(index(split(D34,"":""),1)*60+index(split(D34,"":""),2 )))/0.2+1)*$N$3,"""")"),"")</f>
        <v/>
      </c>
      <c r="F34" s="16" t="str">
        <f t="shared" ref="F34:F65" ca="1" si="5">IFERROR(_xlfn.RANK.EQ(E34,E:E),"")</f>
        <v/>
      </c>
      <c r="G34" s="16"/>
      <c r="H34" s="22" t="str">
        <f ca="1">IFERROR(__xludf.dummyfunction("iferror(1000+INT(($N$4-(index(split(G34,"":""),1)*60+index(split(G34,"":""),2 )))/0.2+1)*$N$5,"""")"),"")</f>
        <v/>
      </c>
      <c r="I34" s="16" t="str">
        <f t="shared" ref="I34:I65" ca="1" si="6">IFERROR(_xlfn.RANK.EQ(H34,H:H),"")</f>
        <v/>
      </c>
      <c r="J34" s="16" t="str">
        <f t="shared" ref="J34:J65" si="7">IF(AND(D34="", G34=""), "", E34+H34)</f>
        <v/>
      </c>
      <c r="K34" s="16" t="str">
        <f t="shared" ref="K34:K65" si="8">IFERROR(_xlfn.RANK.EQ(J34,J:J),"")</f>
        <v/>
      </c>
      <c r="L34" s="16"/>
    </row>
    <row r="35" spans="1:12" ht="14.5" x14ac:dyDescent="0.35">
      <c r="A35" s="16"/>
      <c r="B35" s="16"/>
      <c r="C35" s="16"/>
      <c r="D35" s="16"/>
      <c r="E35" s="22" t="str">
        <f ca="1">IFERROR(__xludf.dummyfunction("iferror(1000+INT(($N$2-(index(split(D35,"":""),1)*60+index(split(D35,"":""),2 )))/0.2+1)*$N$3,"""")"),"")</f>
        <v/>
      </c>
      <c r="F35" s="16" t="str">
        <f t="shared" ca="1" si="5"/>
        <v/>
      </c>
      <c r="G35" s="16"/>
      <c r="H35" s="22" t="str">
        <f ca="1">IFERROR(__xludf.dummyfunction("iferror(1000+INT(($N$4-(index(split(G35,"":""),1)*60+index(split(G35,"":""),2 )))/0.2+1)*$N$5,"""")"),"")</f>
        <v/>
      </c>
      <c r="I35" s="16" t="str">
        <f t="shared" ca="1" si="6"/>
        <v/>
      </c>
      <c r="J35" s="16" t="str">
        <f t="shared" si="7"/>
        <v/>
      </c>
      <c r="K35" s="16" t="str">
        <f t="shared" si="8"/>
        <v/>
      </c>
      <c r="L35" s="16"/>
    </row>
    <row r="36" spans="1:12" ht="14.5" x14ac:dyDescent="0.35">
      <c r="A36" s="16"/>
      <c r="B36" s="16"/>
      <c r="C36" s="16"/>
      <c r="D36" s="16"/>
      <c r="E36" s="22" t="str">
        <f ca="1">IFERROR(__xludf.dummyfunction("iferror(1000+INT(($N$2-(index(split(D36,"":""),1)*60+index(split(D36,"":""),2 )))/0.2+1)*$N$3,"""")"),"")</f>
        <v/>
      </c>
      <c r="F36" s="16" t="str">
        <f t="shared" ca="1" si="5"/>
        <v/>
      </c>
      <c r="G36" s="16"/>
      <c r="H36" s="22" t="str">
        <f ca="1">IFERROR(__xludf.dummyfunction("iferror(1000+INT(($N$4-(index(split(G36,"":""),1)*60+index(split(G36,"":""),2 )))/0.2+1)*$N$5,"""")"),"")</f>
        <v/>
      </c>
      <c r="I36" s="16" t="str">
        <f t="shared" ca="1" si="6"/>
        <v/>
      </c>
      <c r="J36" s="16" t="str">
        <f t="shared" si="7"/>
        <v/>
      </c>
      <c r="K36" s="16" t="str">
        <f t="shared" si="8"/>
        <v/>
      </c>
      <c r="L36" s="16"/>
    </row>
    <row r="37" spans="1:12" ht="14.5" x14ac:dyDescent="0.35">
      <c r="A37" s="16"/>
      <c r="B37" s="16"/>
      <c r="C37" s="16"/>
      <c r="D37" s="16"/>
      <c r="E37" s="22" t="str">
        <f ca="1">IFERROR(__xludf.dummyfunction("iferror(1000+INT(($N$2-(index(split(D37,"":""),1)*60+index(split(D37,"":""),2 )))/0.2+1)*$N$3,"""")"),"")</f>
        <v/>
      </c>
      <c r="F37" s="16" t="str">
        <f t="shared" ca="1" si="5"/>
        <v/>
      </c>
      <c r="G37" s="16"/>
      <c r="H37" s="22" t="str">
        <f ca="1">IFERROR(__xludf.dummyfunction("iferror(1000+INT(($N$4-(index(split(G37,"":""),1)*60+index(split(G37,"":""),2 )))/0.2+1)*$N$5,"""")"),"")</f>
        <v/>
      </c>
      <c r="I37" s="16" t="str">
        <f t="shared" ca="1" si="6"/>
        <v/>
      </c>
      <c r="J37" s="16" t="str">
        <f t="shared" si="7"/>
        <v/>
      </c>
      <c r="K37" s="16" t="str">
        <f t="shared" si="8"/>
        <v/>
      </c>
      <c r="L37" s="16"/>
    </row>
    <row r="38" spans="1:12" ht="14.5" x14ac:dyDescent="0.35">
      <c r="A38" s="16"/>
      <c r="B38" s="16"/>
      <c r="C38" s="16"/>
      <c r="D38" s="16"/>
      <c r="E38" s="22" t="str">
        <f ca="1">IFERROR(__xludf.dummyfunction("iferror(1000+INT(($N$2-(index(split(D38,"":""),1)*60+index(split(D38,"":""),2 )))/0.2+1)*$N$3,"""")"),"")</f>
        <v/>
      </c>
      <c r="F38" s="16" t="str">
        <f t="shared" ca="1" si="5"/>
        <v/>
      </c>
      <c r="G38" s="16"/>
      <c r="H38" s="22" t="str">
        <f ca="1">IFERROR(__xludf.dummyfunction("iferror(1000+INT(($N$4-(index(split(G38,"":""),1)*60+index(split(G38,"":""),2 )))/0.2+1)*$N$5,"""")"),"")</f>
        <v/>
      </c>
      <c r="I38" s="16" t="str">
        <f t="shared" ca="1" si="6"/>
        <v/>
      </c>
      <c r="J38" s="16" t="str">
        <f t="shared" si="7"/>
        <v/>
      </c>
      <c r="K38" s="16" t="str">
        <f t="shared" si="8"/>
        <v/>
      </c>
      <c r="L38" s="16"/>
    </row>
    <row r="39" spans="1:12" ht="14.5" x14ac:dyDescent="0.35">
      <c r="A39" s="16"/>
      <c r="B39" s="16"/>
      <c r="C39" s="16"/>
      <c r="D39" s="16"/>
      <c r="E39" s="22" t="str">
        <f ca="1">IFERROR(__xludf.dummyfunction("iferror(1000+INT(($N$2-(index(split(D39,"":""),1)*60+index(split(D39,"":""),2 )))/0.2+1)*$N$3,"""")"),"")</f>
        <v/>
      </c>
      <c r="F39" s="16" t="str">
        <f t="shared" ca="1" si="5"/>
        <v/>
      </c>
      <c r="G39" s="16"/>
      <c r="H39" s="22" t="str">
        <f ca="1">IFERROR(__xludf.dummyfunction("iferror(1000+INT(($N$4-(index(split(G39,"":""),1)*60+index(split(G39,"":""),2 )))/0.2+1)*$N$5,"""")"),"")</f>
        <v/>
      </c>
      <c r="I39" s="16" t="str">
        <f t="shared" ca="1" si="6"/>
        <v/>
      </c>
      <c r="J39" s="16" t="str">
        <f t="shared" si="7"/>
        <v/>
      </c>
      <c r="K39" s="16" t="str">
        <f t="shared" si="8"/>
        <v/>
      </c>
      <c r="L39" s="16"/>
    </row>
    <row r="40" spans="1:12" ht="14.5" x14ac:dyDescent="0.35">
      <c r="A40" s="16"/>
      <c r="B40" s="16"/>
      <c r="C40" s="16"/>
      <c r="D40" s="16"/>
      <c r="E40" s="22" t="str">
        <f ca="1">IFERROR(__xludf.dummyfunction("iferror(1000+INT(($N$2-(index(split(D40,"":""),1)*60+index(split(D40,"":""),2 )))/0.2+1)*$N$3,"""")"),"")</f>
        <v/>
      </c>
      <c r="F40" s="16" t="str">
        <f t="shared" ca="1" si="5"/>
        <v/>
      </c>
      <c r="G40" s="16"/>
      <c r="H40" s="22" t="str">
        <f ca="1">IFERROR(__xludf.dummyfunction("iferror(1000+INT(($N$4-(index(split(G40,"":""),1)*60+index(split(G40,"":""),2 )))/0.2+1)*$N$5,"""")"),"")</f>
        <v/>
      </c>
      <c r="I40" s="16" t="str">
        <f t="shared" ca="1" si="6"/>
        <v/>
      </c>
      <c r="J40" s="16" t="str">
        <f t="shared" si="7"/>
        <v/>
      </c>
      <c r="K40" s="16" t="str">
        <f t="shared" si="8"/>
        <v/>
      </c>
      <c r="L40" s="16"/>
    </row>
    <row r="41" spans="1:12" ht="14.5" x14ac:dyDescent="0.35">
      <c r="A41" s="16"/>
      <c r="B41" s="16"/>
      <c r="C41" s="16"/>
      <c r="D41" s="16"/>
      <c r="E41" s="22" t="str">
        <f ca="1">IFERROR(__xludf.dummyfunction("iferror(1000+INT(($N$2-(index(split(D41,"":""),1)*60+index(split(D41,"":""),2 )))/0.2+1)*$N$3,"""")"),"")</f>
        <v/>
      </c>
      <c r="F41" s="16" t="str">
        <f t="shared" ca="1" si="5"/>
        <v/>
      </c>
      <c r="G41" s="16"/>
      <c r="H41" s="22" t="str">
        <f ca="1">IFERROR(__xludf.dummyfunction("iferror(1000+INT(($N$4-(index(split(G41,"":""),1)*60+index(split(G41,"":""),2 )))/0.2+1)*$N$5,"""")"),"")</f>
        <v/>
      </c>
      <c r="I41" s="16" t="str">
        <f t="shared" ca="1" si="6"/>
        <v/>
      </c>
      <c r="J41" s="16" t="str">
        <f t="shared" si="7"/>
        <v/>
      </c>
      <c r="K41" s="16" t="str">
        <f t="shared" si="8"/>
        <v/>
      </c>
      <c r="L41" s="16"/>
    </row>
    <row r="42" spans="1:12" ht="14.5" x14ac:dyDescent="0.35">
      <c r="A42" s="16"/>
      <c r="B42" s="16"/>
      <c r="C42" s="16"/>
      <c r="D42" s="16"/>
      <c r="E42" s="22" t="str">
        <f ca="1">IFERROR(__xludf.dummyfunction("iferror(1000+INT(($N$2-(index(split(D42,"":""),1)*60+index(split(D42,"":""),2 )))/0.2+1)*$N$3,"""")"),"")</f>
        <v/>
      </c>
      <c r="F42" s="16" t="str">
        <f t="shared" ca="1" si="5"/>
        <v/>
      </c>
      <c r="G42" s="16"/>
      <c r="H42" s="22" t="str">
        <f ca="1">IFERROR(__xludf.dummyfunction("iferror(1000+INT(($N$4-(index(split(G42,"":""),1)*60+index(split(G42,"":""),2 )))/0.2+1)*$N$5,"""")"),"")</f>
        <v/>
      </c>
      <c r="I42" s="16" t="str">
        <f t="shared" ca="1" si="6"/>
        <v/>
      </c>
      <c r="J42" s="16" t="str">
        <f t="shared" si="7"/>
        <v/>
      </c>
      <c r="K42" s="16" t="str">
        <f t="shared" si="8"/>
        <v/>
      </c>
      <c r="L42" s="16"/>
    </row>
    <row r="43" spans="1:12" ht="14.5" x14ac:dyDescent="0.35">
      <c r="A43" s="16"/>
      <c r="B43" s="16"/>
      <c r="C43" s="16"/>
      <c r="D43" s="16"/>
      <c r="E43" s="22" t="str">
        <f ca="1">IFERROR(__xludf.dummyfunction("iferror(1000+INT(($N$2-(index(split(D43,"":""),1)*60+index(split(D43,"":""),2 )))/0.2+1)*$N$3,"""")"),"")</f>
        <v/>
      </c>
      <c r="F43" s="16" t="str">
        <f t="shared" ca="1" si="5"/>
        <v/>
      </c>
      <c r="G43" s="16"/>
      <c r="H43" s="22" t="str">
        <f ca="1">IFERROR(__xludf.dummyfunction("iferror(1000+INT(($N$4-(index(split(G43,"":""),1)*60+index(split(G43,"":""),2 )))/0.2+1)*$N$5,"""")"),"")</f>
        <v/>
      </c>
      <c r="I43" s="16" t="str">
        <f t="shared" ca="1" si="6"/>
        <v/>
      </c>
      <c r="J43" s="16" t="str">
        <f t="shared" si="7"/>
        <v/>
      </c>
      <c r="K43" s="16" t="str">
        <f t="shared" si="8"/>
        <v/>
      </c>
      <c r="L43" s="16"/>
    </row>
    <row r="44" spans="1:12" ht="14.5" x14ac:dyDescent="0.35">
      <c r="A44" s="16"/>
      <c r="B44" s="16"/>
      <c r="C44" s="16"/>
      <c r="D44" s="16"/>
      <c r="E44" s="22" t="str">
        <f ca="1">IFERROR(__xludf.dummyfunction("iferror(1000+INT(($N$2-(index(split(D44,"":""),1)*60+index(split(D44,"":""),2 )))/0.2+1)*$N$3,"""")"),"")</f>
        <v/>
      </c>
      <c r="F44" s="16" t="str">
        <f t="shared" ca="1" si="5"/>
        <v/>
      </c>
      <c r="G44" s="16"/>
      <c r="H44" s="22" t="str">
        <f ca="1">IFERROR(__xludf.dummyfunction("iferror(1000+INT(($N$4-(index(split(G44,"":""),1)*60+index(split(G44,"":""),2 )))/0.2+1)*$N$5,"""")"),"")</f>
        <v/>
      </c>
      <c r="I44" s="16" t="str">
        <f t="shared" ca="1" si="6"/>
        <v/>
      </c>
      <c r="J44" s="16" t="str">
        <f t="shared" si="7"/>
        <v/>
      </c>
      <c r="K44" s="16" t="str">
        <f t="shared" si="8"/>
        <v/>
      </c>
      <c r="L44" s="16"/>
    </row>
    <row r="45" spans="1:12" ht="14.5" x14ac:dyDescent="0.35">
      <c r="A45" s="16"/>
      <c r="B45" s="16"/>
      <c r="C45" s="16"/>
      <c r="D45" s="16"/>
      <c r="E45" s="22" t="str">
        <f ca="1">IFERROR(__xludf.dummyfunction("iferror(1000+INT(($N$2-(index(split(D45,"":""),1)*60+index(split(D45,"":""),2 )))/0.2+1)*$N$3,"""")"),"")</f>
        <v/>
      </c>
      <c r="F45" s="16" t="str">
        <f t="shared" ca="1" si="5"/>
        <v/>
      </c>
      <c r="G45" s="16"/>
      <c r="H45" s="22" t="str">
        <f ca="1">IFERROR(__xludf.dummyfunction("iferror(1000+INT(($N$4-(index(split(G45,"":""),1)*60+index(split(G45,"":""),2 )))/0.2+1)*$N$5,"""")"),"")</f>
        <v/>
      </c>
      <c r="I45" s="16" t="str">
        <f t="shared" ca="1" si="6"/>
        <v/>
      </c>
      <c r="J45" s="16" t="str">
        <f t="shared" si="7"/>
        <v/>
      </c>
      <c r="K45" s="16" t="str">
        <f t="shared" si="8"/>
        <v/>
      </c>
      <c r="L45" s="16"/>
    </row>
    <row r="46" spans="1:12" ht="14.5" x14ac:dyDescent="0.35">
      <c r="A46" s="16"/>
      <c r="B46" s="16"/>
      <c r="C46" s="16"/>
      <c r="D46" s="16"/>
      <c r="E46" s="22" t="str">
        <f ca="1">IFERROR(__xludf.dummyfunction("iferror(1000+INT(($N$2-(index(split(D46,"":""),1)*60+index(split(D46,"":""),2 )))/0.2+1)*$N$3,"""")"),"")</f>
        <v/>
      </c>
      <c r="F46" s="16" t="str">
        <f t="shared" ca="1" si="5"/>
        <v/>
      </c>
      <c r="G46" s="16"/>
      <c r="H46" s="22" t="str">
        <f ca="1">IFERROR(__xludf.dummyfunction("iferror(1000+INT(($N$4-(index(split(G46,"":""),1)*60+index(split(G46,"":""),2 )))/0.2+1)*$N$5,"""")"),"")</f>
        <v/>
      </c>
      <c r="I46" s="16" t="str">
        <f t="shared" ca="1" si="6"/>
        <v/>
      </c>
      <c r="J46" s="16" t="str">
        <f t="shared" si="7"/>
        <v/>
      </c>
      <c r="K46" s="16" t="str">
        <f t="shared" si="8"/>
        <v/>
      </c>
      <c r="L46" s="16"/>
    </row>
    <row r="47" spans="1:12" ht="14.5" x14ac:dyDescent="0.35">
      <c r="A47" s="16"/>
      <c r="B47" s="16"/>
      <c r="C47" s="16"/>
      <c r="D47" s="16"/>
      <c r="E47" s="22" t="str">
        <f ca="1">IFERROR(__xludf.dummyfunction("iferror(1000+INT(($N$2-(index(split(D47,"":""),1)*60+index(split(D47,"":""),2 )))/0.2+1)*$N$3,"""")"),"")</f>
        <v/>
      </c>
      <c r="F47" s="16" t="str">
        <f t="shared" ca="1" si="5"/>
        <v/>
      </c>
      <c r="G47" s="16"/>
      <c r="H47" s="22" t="str">
        <f ca="1">IFERROR(__xludf.dummyfunction("iferror(1000+INT(($N$4-(index(split(G47,"":""),1)*60+index(split(G47,"":""),2 )))/0.2+1)*$N$5,"""")"),"")</f>
        <v/>
      </c>
      <c r="I47" s="16" t="str">
        <f t="shared" ca="1" si="6"/>
        <v/>
      </c>
      <c r="J47" s="16" t="str">
        <f t="shared" si="7"/>
        <v/>
      </c>
      <c r="K47" s="16" t="str">
        <f t="shared" si="8"/>
        <v/>
      </c>
      <c r="L47" s="16"/>
    </row>
    <row r="48" spans="1:12" ht="14.5" x14ac:dyDescent="0.35">
      <c r="A48" s="16"/>
      <c r="B48" s="16"/>
      <c r="C48" s="16"/>
      <c r="D48" s="16"/>
      <c r="E48" s="22" t="str">
        <f ca="1">IFERROR(__xludf.dummyfunction("iferror(1000+INT(($N$2-(index(split(D48,"":""),1)*60+index(split(D48,"":""),2 )))/0.2+1)*$N$3,"""")"),"")</f>
        <v/>
      </c>
      <c r="F48" s="16" t="str">
        <f t="shared" ca="1" si="5"/>
        <v/>
      </c>
      <c r="G48" s="16"/>
      <c r="H48" s="22" t="str">
        <f ca="1">IFERROR(__xludf.dummyfunction("iferror(1000+INT(($N$4-(index(split(G48,"":""),1)*60+index(split(G48,"":""),2 )))/0.2+1)*$N$5,"""")"),"")</f>
        <v/>
      </c>
      <c r="I48" s="16" t="str">
        <f t="shared" ca="1" si="6"/>
        <v/>
      </c>
      <c r="J48" s="16" t="str">
        <f t="shared" si="7"/>
        <v/>
      </c>
      <c r="K48" s="16" t="str">
        <f t="shared" si="8"/>
        <v/>
      </c>
      <c r="L48" s="16"/>
    </row>
    <row r="49" spans="1:12" ht="14.5" x14ac:dyDescent="0.35">
      <c r="A49" s="16"/>
      <c r="B49" s="16"/>
      <c r="C49" s="16"/>
      <c r="D49" s="16"/>
      <c r="E49" s="22" t="str">
        <f ca="1">IFERROR(__xludf.dummyfunction("iferror(1000+INT(($N$2-(index(split(D49,"":""),1)*60+index(split(D49,"":""),2 )))/0.2+1)*$N$3,"""")"),"")</f>
        <v/>
      </c>
      <c r="F49" s="16" t="str">
        <f t="shared" ca="1" si="5"/>
        <v/>
      </c>
      <c r="G49" s="16"/>
      <c r="H49" s="22" t="str">
        <f ca="1">IFERROR(__xludf.dummyfunction("iferror(1000+INT(($N$4-(index(split(G49,"":""),1)*60+index(split(G49,"":""),2 )))/0.2+1)*$N$5,"""")"),"")</f>
        <v/>
      </c>
      <c r="I49" s="16" t="str">
        <f t="shared" ca="1" si="6"/>
        <v/>
      </c>
      <c r="J49" s="16" t="str">
        <f t="shared" si="7"/>
        <v/>
      </c>
      <c r="K49" s="16" t="str">
        <f t="shared" si="8"/>
        <v/>
      </c>
      <c r="L49" s="16"/>
    </row>
    <row r="50" spans="1:12" ht="14.5" x14ac:dyDescent="0.35">
      <c r="A50" s="16"/>
      <c r="B50" s="16"/>
      <c r="C50" s="16"/>
      <c r="D50" s="16"/>
      <c r="E50" s="22" t="str">
        <f ca="1">IFERROR(__xludf.dummyfunction("iferror(1000+INT(($N$2-(index(split(D50,"":""),1)*60+index(split(D50,"":""),2 )))/0.2+1)*$N$3,"""")"),"")</f>
        <v/>
      </c>
      <c r="F50" s="16" t="str">
        <f t="shared" ca="1" si="5"/>
        <v/>
      </c>
      <c r="G50" s="16"/>
      <c r="H50" s="22" t="str">
        <f ca="1">IFERROR(__xludf.dummyfunction("iferror(1000+INT(($N$4-(index(split(G50,"":""),1)*60+index(split(G50,"":""),2 )))/0.2+1)*$N$5,"""")"),"")</f>
        <v/>
      </c>
      <c r="I50" s="16" t="str">
        <f t="shared" ca="1" si="6"/>
        <v/>
      </c>
      <c r="J50" s="16" t="str">
        <f t="shared" si="7"/>
        <v/>
      </c>
      <c r="K50" s="16" t="str">
        <f t="shared" si="8"/>
        <v/>
      </c>
      <c r="L50" s="16"/>
    </row>
    <row r="51" spans="1:12" ht="14.5" x14ac:dyDescent="0.35">
      <c r="A51" s="16"/>
      <c r="B51" s="16"/>
      <c r="C51" s="16"/>
      <c r="D51" s="16"/>
      <c r="E51" s="22" t="str">
        <f ca="1">IFERROR(__xludf.dummyfunction("iferror(1000+INT(($N$2-(index(split(D51,"":""),1)*60+index(split(D51,"":""),2 )))/0.2+1)*$N$3,"""")"),"")</f>
        <v/>
      </c>
      <c r="F51" s="16" t="str">
        <f t="shared" ca="1" si="5"/>
        <v/>
      </c>
      <c r="G51" s="16"/>
      <c r="H51" s="22" t="str">
        <f ca="1">IFERROR(__xludf.dummyfunction("iferror(1000+INT(($N$4-(index(split(G51,"":""),1)*60+index(split(G51,"":""),2 )))/0.2+1)*$N$5,"""")"),"")</f>
        <v/>
      </c>
      <c r="I51" s="16" t="str">
        <f t="shared" ca="1" si="6"/>
        <v/>
      </c>
      <c r="J51" s="16" t="str">
        <f t="shared" si="7"/>
        <v/>
      </c>
      <c r="K51" s="16" t="str">
        <f t="shared" si="8"/>
        <v/>
      </c>
      <c r="L51" s="16"/>
    </row>
    <row r="52" spans="1:12" ht="14.5" x14ac:dyDescent="0.35">
      <c r="A52" s="16"/>
      <c r="B52" s="16"/>
      <c r="C52" s="16"/>
      <c r="D52" s="16"/>
      <c r="E52" s="22" t="str">
        <f ca="1">IFERROR(__xludf.dummyfunction("iferror(1000+INT(($N$2-(index(split(D52,"":""),1)*60+index(split(D52,"":""),2 )))/0.2+1)*$N$3,"""")"),"")</f>
        <v/>
      </c>
      <c r="F52" s="16" t="str">
        <f t="shared" ca="1" si="5"/>
        <v/>
      </c>
      <c r="G52" s="16"/>
      <c r="H52" s="22" t="str">
        <f ca="1">IFERROR(__xludf.dummyfunction("iferror(1000+INT(($N$4-(index(split(G52,"":""),1)*60+index(split(G52,"":""),2 )))/0.2+1)*$N$5,"""")"),"")</f>
        <v/>
      </c>
      <c r="I52" s="16" t="str">
        <f t="shared" ca="1" si="6"/>
        <v/>
      </c>
      <c r="J52" s="16" t="str">
        <f t="shared" si="7"/>
        <v/>
      </c>
      <c r="K52" s="16" t="str">
        <f t="shared" si="8"/>
        <v/>
      </c>
      <c r="L52" s="16"/>
    </row>
    <row r="53" spans="1:12" ht="14.5" x14ac:dyDescent="0.35">
      <c r="A53" s="16"/>
      <c r="B53" s="16"/>
      <c r="C53" s="16"/>
      <c r="D53" s="16"/>
      <c r="E53" s="22" t="str">
        <f ca="1">IFERROR(__xludf.dummyfunction("iferror(1000+INT(($N$2-(index(split(D53,"":""),1)*60+index(split(D53,"":""),2 )))/0.2+1)*$N$3,"""")"),"")</f>
        <v/>
      </c>
      <c r="F53" s="16" t="str">
        <f t="shared" ca="1" si="5"/>
        <v/>
      </c>
      <c r="G53" s="16"/>
      <c r="H53" s="22" t="str">
        <f ca="1">IFERROR(__xludf.dummyfunction("iferror(1000+INT(($N$4-(index(split(G53,"":""),1)*60+index(split(G53,"":""),2 )))/0.2+1)*$N$5,"""")"),"")</f>
        <v/>
      </c>
      <c r="I53" s="16" t="str">
        <f t="shared" ca="1" si="6"/>
        <v/>
      </c>
      <c r="J53" s="16" t="str">
        <f t="shared" si="7"/>
        <v/>
      </c>
      <c r="K53" s="16" t="str">
        <f t="shared" si="8"/>
        <v/>
      </c>
      <c r="L53" s="16"/>
    </row>
    <row r="54" spans="1:12" ht="14.5" x14ac:dyDescent="0.35">
      <c r="A54" s="16"/>
      <c r="B54" s="16"/>
      <c r="C54" s="16"/>
      <c r="D54" s="16"/>
      <c r="E54" s="22" t="str">
        <f ca="1">IFERROR(__xludf.dummyfunction("iferror(1000+INT(($N$2-(index(split(D54,"":""),1)*60+index(split(D54,"":""),2 )))/0.2+1)*$N$3,"""")"),"")</f>
        <v/>
      </c>
      <c r="F54" s="16" t="str">
        <f t="shared" ca="1" si="5"/>
        <v/>
      </c>
      <c r="G54" s="16"/>
      <c r="H54" s="22" t="str">
        <f ca="1">IFERROR(__xludf.dummyfunction("iferror(1000+INT(($N$4-(index(split(G54,"":""),1)*60+index(split(G54,"":""),2 )))/0.2+1)*$N$5,"""")"),"")</f>
        <v/>
      </c>
      <c r="I54" s="16" t="str">
        <f t="shared" ca="1" si="6"/>
        <v/>
      </c>
      <c r="J54" s="16" t="str">
        <f t="shared" si="7"/>
        <v/>
      </c>
      <c r="K54" s="16" t="str">
        <f t="shared" si="8"/>
        <v/>
      </c>
      <c r="L54" s="16"/>
    </row>
    <row r="55" spans="1:12" ht="14.5" x14ac:dyDescent="0.35">
      <c r="A55" s="16"/>
      <c r="B55" s="16"/>
      <c r="C55" s="16"/>
      <c r="D55" s="16"/>
      <c r="E55" s="22" t="str">
        <f ca="1">IFERROR(__xludf.dummyfunction("iferror(1000+INT(($N$2-(index(split(D55,"":""),1)*60+index(split(D55,"":""),2 )))/0.2+1)*$N$3,"""")"),"")</f>
        <v/>
      </c>
      <c r="F55" s="16" t="str">
        <f t="shared" ca="1" si="5"/>
        <v/>
      </c>
      <c r="G55" s="16"/>
      <c r="H55" s="22" t="str">
        <f ca="1">IFERROR(__xludf.dummyfunction("iferror(1000+INT(($N$4-(index(split(G55,"":""),1)*60+index(split(G55,"":""),2 )))/0.2+1)*$N$5,"""")"),"")</f>
        <v/>
      </c>
      <c r="I55" s="16" t="str">
        <f t="shared" ca="1" si="6"/>
        <v/>
      </c>
      <c r="J55" s="16" t="str">
        <f t="shared" si="7"/>
        <v/>
      </c>
      <c r="K55" s="16" t="str">
        <f t="shared" si="8"/>
        <v/>
      </c>
      <c r="L55" s="16"/>
    </row>
    <row r="56" spans="1:12" ht="14.5" x14ac:dyDescent="0.35">
      <c r="A56" s="16"/>
      <c r="B56" s="16"/>
      <c r="C56" s="16"/>
      <c r="D56" s="16"/>
      <c r="E56" s="22" t="str">
        <f ca="1">IFERROR(__xludf.dummyfunction("iferror(1000+INT(($N$2-(index(split(D56,"":""),1)*60+index(split(D56,"":""),2 )))/0.2+1)*$N$3,"""")"),"")</f>
        <v/>
      </c>
      <c r="F56" s="16" t="str">
        <f t="shared" ca="1" si="5"/>
        <v/>
      </c>
      <c r="G56" s="16"/>
      <c r="H56" s="22" t="str">
        <f ca="1">IFERROR(__xludf.dummyfunction("iferror(1000+INT(($N$4-(index(split(G56,"":""),1)*60+index(split(G56,"":""),2 )))/0.2+1)*$N$5,"""")"),"")</f>
        <v/>
      </c>
      <c r="I56" s="16" t="str">
        <f t="shared" ca="1" si="6"/>
        <v/>
      </c>
      <c r="J56" s="16" t="str">
        <f t="shared" si="7"/>
        <v/>
      </c>
      <c r="K56" s="16" t="str">
        <f t="shared" si="8"/>
        <v/>
      </c>
      <c r="L56" s="16"/>
    </row>
    <row r="57" spans="1:12" ht="14.5" x14ac:dyDescent="0.35">
      <c r="A57" s="16"/>
      <c r="B57" s="16"/>
      <c r="C57" s="16"/>
      <c r="D57" s="16"/>
      <c r="E57" s="22" t="str">
        <f ca="1">IFERROR(__xludf.dummyfunction("iferror(1000+INT(($N$2-(index(split(D57,"":""),1)*60+index(split(D57,"":""),2 )))/0.2+1)*$N$3,"""")"),"")</f>
        <v/>
      </c>
      <c r="F57" s="16" t="str">
        <f t="shared" ca="1" si="5"/>
        <v/>
      </c>
      <c r="G57" s="16"/>
      <c r="H57" s="22" t="str">
        <f ca="1">IFERROR(__xludf.dummyfunction("iferror(1000+INT(($N$4-(index(split(G57,"":""),1)*60+index(split(G57,"":""),2 )))/0.2+1)*$N$5,"""")"),"")</f>
        <v/>
      </c>
      <c r="I57" s="16" t="str">
        <f t="shared" ca="1" si="6"/>
        <v/>
      </c>
      <c r="J57" s="16" t="str">
        <f t="shared" si="7"/>
        <v/>
      </c>
      <c r="K57" s="16" t="str">
        <f t="shared" si="8"/>
        <v/>
      </c>
      <c r="L57" s="16"/>
    </row>
    <row r="58" spans="1:12" ht="14.5" x14ac:dyDescent="0.35">
      <c r="A58" s="16"/>
      <c r="B58" s="16"/>
      <c r="C58" s="16"/>
      <c r="D58" s="16"/>
      <c r="E58" s="22" t="str">
        <f ca="1">IFERROR(__xludf.dummyfunction("iferror(1000+INT(($N$2-(index(split(D58,"":""),1)*60+index(split(D58,"":""),2 )))/0.2+1)*$N$3,"""")"),"")</f>
        <v/>
      </c>
      <c r="F58" s="16" t="str">
        <f t="shared" ca="1" si="5"/>
        <v/>
      </c>
      <c r="G58" s="16"/>
      <c r="H58" s="22" t="str">
        <f ca="1">IFERROR(__xludf.dummyfunction("iferror(1000+INT(($N$4-(index(split(G58,"":""),1)*60+index(split(G58,"":""),2 )))/0.2+1)*$N$5,"""")"),"")</f>
        <v/>
      </c>
      <c r="I58" s="16" t="str">
        <f t="shared" ca="1" si="6"/>
        <v/>
      </c>
      <c r="J58" s="16" t="str">
        <f t="shared" si="7"/>
        <v/>
      </c>
      <c r="K58" s="16" t="str">
        <f t="shared" si="8"/>
        <v/>
      </c>
      <c r="L58" s="16"/>
    </row>
    <row r="59" spans="1:12" ht="14.5" x14ac:dyDescent="0.35">
      <c r="A59" s="16"/>
      <c r="B59" s="16"/>
      <c r="C59" s="16"/>
      <c r="D59" s="16"/>
      <c r="E59" s="22" t="str">
        <f ca="1">IFERROR(__xludf.dummyfunction("iferror(1000+INT(($N$2-(index(split(D59,"":""),1)*60+index(split(D59,"":""),2 )))/0.2+1)*$N$3,"""")"),"")</f>
        <v/>
      </c>
      <c r="F59" s="16" t="str">
        <f t="shared" ca="1" si="5"/>
        <v/>
      </c>
      <c r="G59" s="16"/>
      <c r="H59" s="22" t="str">
        <f ca="1">IFERROR(__xludf.dummyfunction("iferror(1000+INT(($N$4-(index(split(G59,"":""),1)*60+index(split(G59,"":""),2 )))/0.2+1)*$N$5,"""")"),"")</f>
        <v/>
      </c>
      <c r="I59" s="16" t="str">
        <f t="shared" ca="1" si="6"/>
        <v/>
      </c>
      <c r="J59" s="16" t="str">
        <f t="shared" si="7"/>
        <v/>
      </c>
      <c r="K59" s="16" t="str">
        <f t="shared" si="8"/>
        <v/>
      </c>
      <c r="L59" s="16"/>
    </row>
    <row r="60" spans="1:12" ht="14.5" x14ac:dyDescent="0.35">
      <c r="A60" s="16"/>
      <c r="B60" s="16"/>
      <c r="C60" s="16"/>
      <c r="D60" s="16"/>
      <c r="E60" s="22" t="str">
        <f ca="1">IFERROR(__xludf.dummyfunction("iferror(1000+INT(($N$2-(index(split(D60,"":""),1)*60+index(split(D60,"":""),2 )))/0.2+1)*$N$3,"""")"),"")</f>
        <v/>
      </c>
      <c r="F60" s="16" t="str">
        <f t="shared" ca="1" si="5"/>
        <v/>
      </c>
      <c r="G60" s="16"/>
      <c r="H60" s="22" t="str">
        <f ca="1">IFERROR(__xludf.dummyfunction("iferror(1000+INT(($N$4-(index(split(G60,"":""),1)*60+index(split(G60,"":""),2 )))/0.2+1)*$N$5,"""")"),"")</f>
        <v/>
      </c>
      <c r="I60" s="16" t="str">
        <f t="shared" ca="1" si="6"/>
        <v/>
      </c>
      <c r="J60" s="16" t="str">
        <f t="shared" si="7"/>
        <v/>
      </c>
      <c r="K60" s="16" t="str">
        <f t="shared" si="8"/>
        <v/>
      </c>
      <c r="L60" s="16"/>
    </row>
    <row r="61" spans="1:12" ht="14.5" x14ac:dyDescent="0.35">
      <c r="A61" s="16"/>
      <c r="B61" s="16"/>
      <c r="C61" s="16"/>
      <c r="D61" s="16"/>
      <c r="E61" s="22" t="str">
        <f ca="1">IFERROR(__xludf.dummyfunction("iferror(1000+INT(($N$2-(index(split(D61,"":""),1)*60+index(split(D61,"":""),2 )))/0.2+1)*$N$3,"""")"),"")</f>
        <v/>
      </c>
      <c r="F61" s="16" t="str">
        <f t="shared" ca="1" si="5"/>
        <v/>
      </c>
      <c r="G61" s="16"/>
      <c r="H61" s="22" t="str">
        <f ca="1">IFERROR(__xludf.dummyfunction("iferror(1000+INT(($N$4-(index(split(G61,"":""),1)*60+index(split(G61,"":""),2 )))/0.2+1)*$N$5,"""")"),"")</f>
        <v/>
      </c>
      <c r="I61" s="16" t="str">
        <f t="shared" ca="1" si="6"/>
        <v/>
      </c>
      <c r="J61" s="16" t="str">
        <f t="shared" si="7"/>
        <v/>
      </c>
      <c r="K61" s="16" t="str">
        <f t="shared" si="8"/>
        <v/>
      </c>
      <c r="L61" s="16"/>
    </row>
    <row r="62" spans="1:12" ht="14.5" x14ac:dyDescent="0.35">
      <c r="A62" s="16"/>
      <c r="B62" s="16"/>
      <c r="C62" s="16"/>
      <c r="D62" s="16"/>
      <c r="E62" s="22" t="str">
        <f ca="1">IFERROR(__xludf.dummyfunction("iferror(1000+INT(($N$2-(index(split(D62,"":""),1)*60+index(split(D62,"":""),2 )))/0.2+1)*$N$3,"""")"),"")</f>
        <v/>
      </c>
      <c r="F62" s="16" t="str">
        <f t="shared" ca="1" si="5"/>
        <v/>
      </c>
      <c r="G62" s="16"/>
      <c r="H62" s="22" t="str">
        <f ca="1">IFERROR(__xludf.dummyfunction("iferror(1000+INT(($N$4-(index(split(G62,"":""),1)*60+index(split(G62,"":""),2 )))/0.2+1)*$N$5,"""")"),"")</f>
        <v/>
      </c>
      <c r="I62" s="16" t="str">
        <f t="shared" ca="1" si="6"/>
        <v/>
      </c>
      <c r="J62" s="16" t="str">
        <f t="shared" si="7"/>
        <v/>
      </c>
      <c r="K62" s="16" t="str">
        <f t="shared" si="8"/>
        <v/>
      </c>
      <c r="L62" s="16"/>
    </row>
    <row r="63" spans="1:12" ht="14.5" x14ac:dyDescent="0.35">
      <c r="A63" s="16"/>
      <c r="B63" s="16"/>
      <c r="C63" s="16"/>
      <c r="D63" s="16"/>
      <c r="E63" s="22" t="str">
        <f ca="1">IFERROR(__xludf.dummyfunction("iferror(1000+INT(($N$2-(index(split(D63,"":""),1)*60+index(split(D63,"":""),2 )))/0.2+1)*$N$3,"""")"),"")</f>
        <v/>
      </c>
      <c r="F63" s="16" t="str">
        <f t="shared" ca="1" si="5"/>
        <v/>
      </c>
      <c r="G63" s="16"/>
      <c r="H63" s="22" t="str">
        <f ca="1">IFERROR(__xludf.dummyfunction("iferror(1000+INT(($N$4-(index(split(G63,"":""),1)*60+index(split(G63,"":""),2 )))/0.2+1)*$N$5,"""")"),"")</f>
        <v/>
      </c>
      <c r="I63" s="16" t="str">
        <f t="shared" ca="1" si="6"/>
        <v/>
      </c>
      <c r="J63" s="16" t="str">
        <f t="shared" si="7"/>
        <v/>
      </c>
      <c r="K63" s="16" t="str">
        <f t="shared" si="8"/>
        <v/>
      </c>
      <c r="L63" s="16"/>
    </row>
    <row r="64" spans="1:12" ht="14.5" x14ac:dyDescent="0.35">
      <c r="A64" s="16"/>
      <c r="B64" s="16"/>
      <c r="C64" s="16"/>
      <c r="D64" s="16"/>
      <c r="E64" s="22" t="str">
        <f ca="1">IFERROR(__xludf.dummyfunction("iferror(1000+INT(($N$2-(index(split(D64,"":""),1)*60+index(split(D64,"":""),2 )))/0.2+1)*$N$3,"""")"),"")</f>
        <v/>
      </c>
      <c r="F64" s="16" t="str">
        <f t="shared" ca="1" si="5"/>
        <v/>
      </c>
      <c r="G64" s="16"/>
      <c r="H64" s="22" t="str">
        <f ca="1">IFERROR(__xludf.dummyfunction("iferror(1000+INT(($N$4-(index(split(G64,"":""),1)*60+index(split(G64,"":""),2 )))/0.2+1)*$N$5,"""")"),"")</f>
        <v/>
      </c>
      <c r="I64" s="16" t="str">
        <f t="shared" ca="1" si="6"/>
        <v/>
      </c>
      <c r="J64" s="16" t="str">
        <f t="shared" si="7"/>
        <v/>
      </c>
      <c r="K64" s="16" t="str">
        <f t="shared" si="8"/>
        <v/>
      </c>
      <c r="L64" s="16"/>
    </row>
    <row r="65" spans="1:12" ht="14.5" x14ac:dyDescent="0.35">
      <c r="A65" s="16"/>
      <c r="B65" s="16"/>
      <c r="C65" s="16"/>
      <c r="D65" s="16"/>
      <c r="E65" s="22" t="str">
        <f ca="1">IFERROR(__xludf.dummyfunction("iferror(1000+INT(($N$2-(index(split(D65,"":""),1)*60+index(split(D65,"":""),2 )))/0.2+1)*$N$3,"""")"),"")</f>
        <v/>
      </c>
      <c r="F65" s="16" t="str">
        <f t="shared" ca="1" si="5"/>
        <v/>
      </c>
      <c r="G65" s="16"/>
      <c r="H65" s="22" t="str">
        <f ca="1">IFERROR(__xludf.dummyfunction("iferror(1000+INT(($N$4-(index(split(G65,"":""),1)*60+index(split(G65,"":""),2 )))/0.2+1)*$N$5,"""")"),"")</f>
        <v/>
      </c>
      <c r="I65" s="16" t="str">
        <f t="shared" ca="1" si="6"/>
        <v/>
      </c>
      <c r="J65" s="16" t="str">
        <f t="shared" si="7"/>
        <v/>
      </c>
      <c r="K65" s="16" t="str">
        <f t="shared" si="8"/>
        <v/>
      </c>
      <c r="L65" s="16"/>
    </row>
    <row r="66" spans="1:12" ht="14.5" x14ac:dyDescent="0.35">
      <c r="A66" s="16"/>
      <c r="B66" s="16"/>
      <c r="C66" s="16"/>
      <c r="D66" s="16"/>
      <c r="E66" s="22" t="str">
        <f ca="1">IFERROR(__xludf.dummyfunction("iferror(1000+INT(($N$2-(index(split(D66,"":""),1)*60+index(split(D66,"":""),2 )))/0.2+1)*$N$3,"""")"),"")</f>
        <v/>
      </c>
      <c r="F66" s="16" t="str">
        <f t="shared" ref="F66:F97" ca="1" si="9">IFERROR(_xlfn.RANK.EQ(E66,E:E),"")</f>
        <v/>
      </c>
      <c r="G66" s="16"/>
      <c r="H66" s="22" t="str">
        <f ca="1">IFERROR(__xludf.dummyfunction("iferror(1000+INT(($N$4-(index(split(G66,"":""),1)*60+index(split(G66,"":""),2 )))/0.2+1)*$N$5,"""")"),"")</f>
        <v/>
      </c>
      <c r="I66" s="16" t="str">
        <f t="shared" ref="I66:I97" ca="1" si="10">IFERROR(_xlfn.RANK.EQ(H66,H:H),"")</f>
        <v/>
      </c>
      <c r="J66" s="16" t="str">
        <f t="shared" ref="J66:J100" si="11">IF(AND(D66="", G66=""), "", E66+H66)</f>
        <v/>
      </c>
      <c r="K66" s="16" t="str">
        <f t="shared" ref="K66:K97" si="12">IFERROR(_xlfn.RANK.EQ(J66,J:J),"")</f>
        <v/>
      </c>
      <c r="L66" s="16"/>
    </row>
    <row r="67" spans="1:12" ht="14.5" x14ac:dyDescent="0.35">
      <c r="A67" s="16"/>
      <c r="B67" s="16"/>
      <c r="C67" s="16"/>
      <c r="D67" s="16"/>
      <c r="E67" s="22" t="str">
        <f ca="1">IFERROR(__xludf.dummyfunction("iferror(1000+INT(($N$2-(index(split(D67,"":""),1)*60+index(split(D67,"":""),2 )))/0.2+1)*$N$3,"""")"),"")</f>
        <v/>
      </c>
      <c r="F67" s="16" t="str">
        <f t="shared" ca="1" si="9"/>
        <v/>
      </c>
      <c r="G67" s="16"/>
      <c r="H67" s="22" t="str">
        <f ca="1">IFERROR(__xludf.dummyfunction("iferror(1000+INT(($N$4-(index(split(G67,"":""),1)*60+index(split(G67,"":""),2 )))/0.2+1)*$N$5,"""")"),"")</f>
        <v/>
      </c>
      <c r="I67" s="16" t="str">
        <f t="shared" ca="1" si="10"/>
        <v/>
      </c>
      <c r="J67" s="16" t="str">
        <f t="shared" si="11"/>
        <v/>
      </c>
      <c r="K67" s="16" t="str">
        <f t="shared" si="12"/>
        <v/>
      </c>
      <c r="L67" s="16"/>
    </row>
    <row r="68" spans="1:12" ht="14.5" x14ac:dyDescent="0.35">
      <c r="A68" s="16"/>
      <c r="B68" s="16"/>
      <c r="C68" s="16"/>
      <c r="D68" s="16"/>
      <c r="E68" s="22" t="str">
        <f ca="1">IFERROR(__xludf.dummyfunction("iferror(1000+INT(($N$2-(index(split(D68,"":""),1)*60+index(split(D68,"":""),2 )))/0.2+1)*$N$3,"""")"),"")</f>
        <v/>
      </c>
      <c r="F68" s="16" t="str">
        <f t="shared" ca="1" si="9"/>
        <v/>
      </c>
      <c r="G68" s="16"/>
      <c r="H68" s="22" t="str">
        <f ca="1">IFERROR(__xludf.dummyfunction("iferror(1000+INT(($N$4-(index(split(G68,"":""),1)*60+index(split(G68,"":""),2 )))/0.2+1)*$N$5,"""")"),"")</f>
        <v/>
      </c>
      <c r="I68" s="16" t="str">
        <f t="shared" ca="1" si="10"/>
        <v/>
      </c>
      <c r="J68" s="16" t="str">
        <f t="shared" si="11"/>
        <v/>
      </c>
      <c r="K68" s="16" t="str">
        <f t="shared" si="12"/>
        <v/>
      </c>
      <c r="L68" s="16"/>
    </row>
    <row r="69" spans="1:12" ht="14.5" x14ac:dyDescent="0.35">
      <c r="A69" s="16"/>
      <c r="B69" s="16"/>
      <c r="C69" s="16"/>
      <c r="D69" s="16"/>
      <c r="E69" s="22" t="str">
        <f ca="1">IFERROR(__xludf.dummyfunction("iferror(1000+INT(($N$2-(index(split(D69,"":""),1)*60+index(split(D69,"":""),2 )))/0.2+1)*$N$3,"""")"),"")</f>
        <v/>
      </c>
      <c r="F69" s="16" t="str">
        <f t="shared" ca="1" si="9"/>
        <v/>
      </c>
      <c r="G69" s="16"/>
      <c r="H69" s="22" t="str">
        <f ca="1">IFERROR(__xludf.dummyfunction("iferror(1000+INT(($N$4-(index(split(G69,"":""),1)*60+index(split(G69,"":""),2 )))/0.2+1)*$N$5,"""")"),"")</f>
        <v/>
      </c>
      <c r="I69" s="16" t="str">
        <f t="shared" ca="1" si="10"/>
        <v/>
      </c>
      <c r="J69" s="16" t="str">
        <f t="shared" si="11"/>
        <v/>
      </c>
      <c r="K69" s="16" t="str">
        <f t="shared" si="12"/>
        <v/>
      </c>
      <c r="L69" s="16"/>
    </row>
    <row r="70" spans="1:12" ht="14.5" x14ac:dyDescent="0.35">
      <c r="A70" s="16"/>
      <c r="B70" s="16"/>
      <c r="C70" s="16"/>
      <c r="D70" s="16"/>
      <c r="E70" s="22" t="str">
        <f ca="1">IFERROR(__xludf.dummyfunction("iferror(1000+INT(($N$2-(index(split(D70,"":""),1)*60+index(split(D70,"":""),2 )))/0.2+1)*$N$3,"""")"),"")</f>
        <v/>
      </c>
      <c r="F70" s="16" t="str">
        <f t="shared" ca="1" si="9"/>
        <v/>
      </c>
      <c r="G70" s="16"/>
      <c r="H70" s="22" t="str">
        <f ca="1">IFERROR(__xludf.dummyfunction("iferror(1000+INT(($N$4-(index(split(G70,"":""),1)*60+index(split(G70,"":""),2 )))/0.2+1)*$N$5,"""")"),"")</f>
        <v/>
      </c>
      <c r="I70" s="16" t="str">
        <f t="shared" ca="1" si="10"/>
        <v/>
      </c>
      <c r="J70" s="16" t="str">
        <f t="shared" si="11"/>
        <v/>
      </c>
      <c r="K70" s="16" t="str">
        <f t="shared" si="12"/>
        <v/>
      </c>
      <c r="L70" s="16"/>
    </row>
    <row r="71" spans="1:12" ht="14.5" x14ac:dyDescent="0.35">
      <c r="A71" s="16"/>
      <c r="B71" s="16"/>
      <c r="C71" s="16"/>
      <c r="D71" s="16"/>
      <c r="E71" s="22" t="str">
        <f ca="1">IFERROR(__xludf.dummyfunction("iferror(1000+INT(($N$2-(index(split(D71,"":""),1)*60+index(split(D71,"":""),2 )))/0.2+1)*$N$3,"""")"),"")</f>
        <v/>
      </c>
      <c r="F71" s="16" t="str">
        <f t="shared" ca="1" si="9"/>
        <v/>
      </c>
      <c r="G71" s="16"/>
      <c r="H71" s="22" t="str">
        <f ca="1">IFERROR(__xludf.dummyfunction("iferror(1000+INT(($N$4-(index(split(G71,"":""),1)*60+index(split(G71,"":""),2 )))/0.2+1)*$N$5,"""")"),"")</f>
        <v/>
      </c>
      <c r="I71" s="16" t="str">
        <f t="shared" ca="1" si="10"/>
        <v/>
      </c>
      <c r="J71" s="16" t="str">
        <f t="shared" si="11"/>
        <v/>
      </c>
      <c r="K71" s="16" t="str">
        <f t="shared" si="12"/>
        <v/>
      </c>
      <c r="L71" s="16"/>
    </row>
    <row r="72" spans="1:12" ht="14.5" x14ac:dyDescent="0.35">
      <c r="A72" s="16"/>
      <c r="B72" s="16"/>
      <c r="C72" s="16"/>
      <c r="D72" s="16"/>
      <c r="E72" s="22" t="str">
        <f ca="1">IFERROR(__xludf.dummyfunction("iferror(1000+INT(($N$2-(index(split(D72,"":""),1)*60+index(split(D72,"":""),2 )))/0.2+1)*$N$3,"""")"),"")</f>
        <v/>
      </c>
      <c r="F72" s="16" t="str">
        <f t="shared" ca="1" si="9"/>
        <v/>
      </c>
      <c r="G72" s="16"/>
      <c r="H72" s="22" t="str">
        <f ca="1">IFERROR(__xludf.dummyfunction("iferror(1000+INT(($N$4-(index(split(G72,"":""),1)*60+index(split(G72,"":""),2 )))/0.2+1)*$N$5,"""")"),"")</f>
        <v/>
      </c>
      <c r="I72" s="16" t="str">
        <f t="shared" ca="1" si="10"/>
        <v/>
      </c>
      <c r="J72" s="16" t="str">
        <f t="shared" si="11"/>
        <v/>
      </c>
      <c r="K72" s="16" t="str">
        <f t="shared" si="12"/>
        <v/>
      </c>
      <c r="L72" s="16"/>
    </row>
    <row r="73" spans="1:12" ht="14.5" x14ac:dyDescent="0.35">
      <c r="A73" s="16"/>
      <c r="B73" s="16"/>
      <c r="C73" s="16"/>
      <c r="D73" s="16"/>
      <c r="E73" s="22" t="str">
        <f ca="1">IFERROR(__xludf.dummyfunction("iferror(1000+INT(($N$2-(index(split(D73,"":""),1)*60+index(split(D73,"":""),2 )))/0.2+1)*$N$3,"""")"),"")</f>
        <v/>
      </c>
      <c r="F73" s="16" t="str">
        <f t="shared" ca="1" si="9"/>
        <v/>
      </c>
      <c r="G73" s="16"/>
      <c r="H73" s="22" t="str">
        <f ca="1">IFERROR(__xludf.dummyfunction("iferror(1000+INT(($N$4-(index(split(G73,"":""),1)*60+index(split(G73,"":""),2 )))/0.2+1)*$N$5,"""")"),"")</f>
        <v/>
      </c>
      <c r="I73" s="16" t="str">
        <f t="shared" ca="1" si="10"/>
        <v/>
      </c>
      <c r="J73" s="16" t="str">
        <f t="shared" si="11"/>
        <v/>
      </c>
      <c r="K73" s="16" t="str">
        <f t="shared" si="12"/>
        <v/>
      </c>
      <c r="L73" s="16"/>
    </row>
    <row r="74" spans="1:12" ht="14.5" x14ac:dyDescent="0.35">
      <c r="A74" s="16"/>
      <c r="B74" s="16"/>
      <c r="C74" s="16"/>
      <c r="D74" s="16"/>
      <c r="E74" s="22" t="str">
        <f ca="1">IFERROR(__xludf.dummyfunction("iferror(1000+INT(($N$2-(index(split(D74,"":""),1)*60+index(split(D74,"":""),2 )))/0.2+1)*$N$3,"""")"),"")</f>
        <v/>
      </c>
      <c r="F74" s="16" t="str">
        <f t="shared" ca="1" si="9"/>
        <v/>
      </c>
      <c r="G74" s="16"/>
      <c r="H74" s="22" t="str">
        <f ca="1">IFERROR(__xludf.dummyfunction("iferror(1000+INT(($N$4-(index(split(G74,"":""),1)*60+index(split(G74,"":""),2 )))/0.2+1)*$N$5,"""")"),"")</f>
        <v/>
      </c>
      <c r="I74" s="16" t="str">
        <f t="shared" ca="1" si="10"/>
        <v/>
      </c>
      <c r="J74" s="16" t="str">
        <f t="shared" si="11"/>
        <v/>
      </c>
      <c r="K74" s="16" t="str">
        <f t="shared" si="12"/>
        <v/>
      </c>
      <c r="L74" s="16"/>
    </row>
    <row r="75" spans="1:12" ht="14.5" x14ac:dyDescent="0.35">
      <c r="A75" s="16"/>
      <c r="B75" s="16"/>
      <c r="C75" s="16"/>
      <c r="D75" s="16"/>
      <c r="E75" s="22" t="str">
        <f ca="1">IFERROR(__xludf.dummyfunction("iferror(1000+INT(($N$2-(index(split(D75,"":""),1)*60+index(split(D75,"":""),2 )))/0.2+1)*$N$3,"""")"),"")</f>
        <v/>
      </c>
      <c r="F75" s="16" t="str">
        <f t="shared" ca="1" si="9"/>
        <v/>
      </c>
      <c r="G75" s="16"/>
      <c r="H75" s="22" t="str">
        <f ca="1">IFERROR(__xludf.dummyfunction("iferror(1000+INT(($N$4-(index(split(G75,"":""),1)*60+index(split(G75,"":""),2 )))/0.2+1)*$N$5,"""")"),"")</f>
        <v/>
      </c>
      <c r="I75" s="16" t="str">
        <f t="shared" ca="1" si="10"/>
        <v/>
      </c>
      <c r="J75" s="16" t="str">
        <f t="shared" si="11"/>
        <v/>
      </c>
      <c r="K75" s="16" t="str">
        <f t="shared" si="12"/>
        <v/>
      </c>
      <c r="L75" s="16"/>
    </row>
    <row r="76" spans="1:12" ht="14.5" x14ac:dyDescent="0.35">
      <c r="A76" s="16"/>
      <c r="B76" s="16"/>
      <c r="C76" s="16"/>
      <c r="D76" s="16"/>
      <c r="E76" s="22" t="str">
        <f ca="1">IFERROR(__xludf.dummyfunction("iferror(1000+INT(($N$2-(index(split(D76,"":""),1)*60+index(split(D76,"":""),2 )))/0.2+1)*$N$3,"""")"),"")</f>
        <v/>
      </c>
      <c r="F76" s="16" t="str">
        <f t="shared" ca="1" si="9"/>
        <v/>
      </c>
      <c r="G76" s="16"/>
      <c r="H76" s="22" t="str">
        <f ca="1">IFERROR(__xludf.dummyfunction("iferror(1000+INT(($N$4-(index(split(G76,"":""),1)*60+index(split(G76,"":""),2 )))/0.2+1)*$N$5,"""")"),"")</f>
        <v/>
      </c>
      <c r="I76" s="16" t="str">
        <f t="shared" ca="1" si="10"/>
        <v/>
      </c>
      <c r="J76" s="16" t="str">
        <f t="shared" si="11"/>
        <v/>
      </c>
      <c r="K76" s="16" t="str">
        <f t="shared" si="12"/>
        <v/>
      </c>
      <c r="L76" s="16"/>
    </row>
    <row r="77" spans="1:12" ht="14.5" x14ac:dyDescent="0.35">
      <c r="A77" s="16"/>
      <c r="B77" s="16"/>
      <c r="C77" s="16"/>
      <c r="D77" s="16"/>
      <c r="E77" s="22" t="str">
        <f ca="1">IFERROR(__xludf.dummyfunction("iferror(1000+INT(($N$2-(index(split(D77,"":""),1)*60+index(split(D77,"":""),2 )))/0.2+1)*$N$3,"""")"),"")</f>
        <v/>
      </c>
      <c r="F77" s="16" t="str">
        <f t="shared" ca="1" si="9"/>
        <v/>
      </c>
      <c r="G77" s="16"/>
      <c r="H77" s="22" t="str">
        <f ca="1">IFERROR(__xludf.dummyfunction("iferror(1000+INT(($N$4-(index(split(G77,"":""),1)*60+index(split(G77,"":""),2 )))/0.2+1)*$N$5,"""")"),"")</f>
        <v/>
      </c>
      <c r="I77" s="16" t="str">
        <f t="shared" ca="1" si="10"/>
        <v/>
      </c>
      <c r="J77" s="16" t="str">
        <f t="shared" si="11"/>
        <v/>
      </c>
      <c r="K77" s="16" t="str">
        <f t="shared" si="12"/>
        <v/>
      </c>
      <c r="L77" s="16"/>
    </row>
    <row r="78" spans="1:12" ht="14.5" x14ac:dyDescent="0.35">
      <c r="A78" s="16"/>
      <c r="B78" s="16"/>
      <c r="C78" s="16"/>
      <c r="D78" s="16"/>
      <c r="E78" s="22" t="str">
        <f ca="1">IFERROR(__xludf.dummyfunction("iferror(1000+INT(($N$2-(index(split(D78,"":""),1)*60+index(split(D78,"":""),2 )))/0.2+1)*$N$3,"""")"),"")</f>
        <v/>
      </c>
      <c r="F78" s="16" t="str">
        <f t="shared" ca="1" si="9"/>
        <v/>
      </c>
      <c r="G78" s="16"/>
      <c r="H78" s="22" t="str">
        <f ca="1">IFERROR(__xludf.dummyfunction("iferror(1000+INT(($N$4-(index(split(G78,"":""),1)*60+index(split(G78,"":""),2 )))/0.2+1)*$N$5,"""")"),"")</f>
        <v/>
      </c>
      <c r="I78" s="16" t="str">
        <f t="shared" ca="1" si="10"/>
        <v/>
      </c>
      <c r="J78" s="16" t="str">
        <f t="shared" si="11"/>
        <v/>
      </c>
      <c r="K78" s="16" t="str">
        <f t="shared" si="12"/>
        <v/>
      </c>
      <c r="L78" s="16"/>
    </row>
    <row r="79" spans="1:12" ht="14.5" x14ac:dyDescent="0.35">
      <c r="A79" s="16"/>
      <c r="B79" s="16"/>
      <c r="C79" s="16"/>
      <c r="D79" s="16"/>
      <c r="E79" s="22" t="str">
        <f ca="1">IFERROR(__xludf.dummyfunction("iferror(1000+INT(($N$2-(index(split(D79,"":""),1)*60+index(split(D79,"":""),2 )))/0.2+1)*$N$3,"""")"),"")</f>
        <v/>
      </c>
      <c r="F79" s="16" t="str">
        <f t="shared" ca="1" si="9"/>
        <v/>
      </c>
      <c r="G79" s="16"/>
      <c r="H79" s="22" t="str">
        <f ca="1">IFERROR(__xludf.dummyfunction("iferror(1000+INT(($N$4-(index(split(G79,"":""),1)*60+index(split(G79,"":""),2 )))/0.2+1)*$N$5,"""")"),"")</f>
        <v/>
      </c>
      <c r="I79" s="16" t="str">
        <f t="shared" ca="1" si="10"/>
        <v/>
      </c>
      <c r="J79" s="16" t="str">
        <f t="shared" si="11"/>
        <v/>
      </c>
      <c r="K79" s="16" t="str">
        <f t="shared" si="12"/>
        <v/>
      </c>
      <c r="L79" s="16"/>
    </row>
    <row r="80" spans="1:12" ht="14.5" x14ac:dyDescent="0.35">
      <c r="A80" s="16"/>
      <c r="B80" s="16"/>
      <c r="C80" s="16"/>
      <c r="D80" s="16"/>
      <c r="E80" s="22" t="str">
        <f ca="1">IFERROR(__xludf.dummyfunction("iferror(1000+INT(($N$2-(index(split(D80,"":""),1)*60+index(split(D80,"":""),2 )))/0.2+1)*$N$3,"""")"),"")</f>
        <v/>
      </c>
      <c r="F80" s="16" t="str">
        <f t="shared" ca="1" si="9"/>
        <v/>
      </c>
      <c r="G80" s="16"/>
      <c r="H80" s="22" t="str">
        <f ca="1">IFERROR(__xludf.dummyfunction("iferror(1000+INT(($N$4-(index(split(G80,"":""),1)*60+index(split(G80,"":""),2 )))/0.2+1)*$N$5,"""")"),"")</f>
        <v/>
      </c>
      <c r="I80" s="16" t="str">
        <f t="shared" ca="1" si="10"/>
        <v/>
      </c>
      <c r="J80" s="16" t="str">
        <f t="shared" si="11"/>
        <v/>
      </c>
      <c r="K80" s="16" t="str">
        <f t="shared" si="12"/>
        <v/>
      </c>
      <c r="L80" s="16"/>
    </row>
    <row r="81" spans="1:12" ht="14.5" x14ac:dyDescent="0.35">
      <c r="A81" s="16"/>
      <c r="B81" s="16"/>
      <c r="C81" s="16"/>
      <c r="D81" s="16"/>
      <c r="E81" s="22" t="str">
        <f ca="1">IFERROR(__xludf.dummyfunction("iferror(1000+INT(($N$2-(index(split(D81,"":""),1)*60+index(split(D81,"":""),2 )))/0.2+1)*$N$3,"""")"),"")</f>
        <v/>
      </c>
      <c r="F81" s="16" t="str">
        <f t="shared" ca="1" si="9"/>
        <v/>
      </c>
      <c r="G81" s="16"/>
      <c r="H81" s="22" t="str">
        <f ca="1">IFERROR(__xludf.dummyfunction("iferror(1000+INT(($N$4-(index(split(G81,"":""),1)*60+index(split(G81,"":""),2 )))/0.2+1)*$N$5,"""")"),"")</f>
        <v/>
      </c>
      <c r="I81" s="16" t="str">
        <f t="shared" ca="1" si="10"/>
        <v/>
      </c>
      <c r="J81" s="16" t="str">
        <f t="shared" si="11"/>
        <v/>
      </c>
      <c r="K81" s="16" t="str">
        <f t="shared" si="12"/>
        <v/>
      </c>
      <c r="L81" s="16"/>
    </row>
    <row r="82" spans="1:12" ht="14.5" x14ac:dyDescent="0.35">
      <c r="A82" s="16"/>
      <c r="B82" s="16"/>
      <c r="C82" s="16"/>
      <c r="D82" s="16"/>
      <c r="E82" s="22" t="str">
        <f ca="1">IFERROR(__xludf.dummyfunction("iferror(1000+INT(($N$2-(index(split(D82,"":""),1)*60+index(split(D82,"":""),2 )))/0.2+1)*$N$3,"""")"),"")</f>
        <v/>
      </c>
      <c r="F82" s="16" t="str">
        <f t="shared" ca="1" si="9"/>
        <v/>
      </c>
      <c r="G82" s="16"/>
      <c r="H82" s="22" t="str">
        <f ca="1">IFERROR(__xludf.dummyfunction("iferror(1000+INT(($N$4-(index(split(G82,"":""),1)*60+index(split(G82,"":""),2 )))/0.2+1)*$N$5,"""")"),"")</f>
        <v/>
      </c>
      <c r="I82" s="16" t="str">
        <f t="shared" ca="1" si="10"/>
        <v/>
      </c>
      <c r="J82" s="16" t="str">
        <f t="shared" si="11"/>
        <v/>
      </c>
      <c r="K82" s="16" t="str">
        <f t="shared" si="12"/>
        <v/>
      </c>
      <c r="L82" s="16"/>
    </row>
    <row r="83" spans="1:12" ht="14.5" x14ac:dyDescent="0.35">
      <c r="A83" s="16"/>
      <c r="B83" s="16"/>
      <c r="C83" s="16"/>
      <c r="D83" s="16"/>
      <c r="E83" s="22" t="str">
        <f ca="1">IFERROR(__xludf.dummyfunction("iferror(1000+INT(($N$2-(index(split(D83,"":""),1)*60+index(split(D83,"":""),2 )))/0.2+1)*$N$3,"""")"),"")</f>
        <v/>
      </c>
      <c r="F83" s="16" t="str">
        <f t="shared" ca="1" si="9"/>
        <v/>
      </c>
      <c r="G83" s="16"/>
      <c r="H83" s="22" t="str">
        <f ca="1">IFERROR(__xludf.dummyfunction("iferror(1000+INT(($N$4-(index(split(G83,"":""),1)*60+index(split(G83,"":""),2 )))/0.2+1)*$N$5,"""")"),"")</f>
        <v/>
      </c>
      <c r="I83" s="16" t="str">
        <f t="shared" ca="1" si="10"/>
        <v/>
      </c>
      <c r="J83" s="16" t="str">
        <f t="shared" si="11"/>
        <v/>
      </c>
      <c r="K83" s="16" t="str">
        <f t="shared" si="12"/>
        <v/>
      </c>
      <c r="L83" s="16"/>
    </row>
    <row r="84" spans="1:12" ht="14.5" x14ac:dyDescent="0.35">
      <c r="A84" s="16"/>
      <c r="B84" s="16"/>
      <c r="C84" s="16"/>
      <c r="D84" s="16"/>
      <c r="E84" s="22" t="str">
        <f ca="1">IFERROR(__xludf.dummyfunction("iferror(1000+INT(($N$2-(index(split(D84,"":""),1)*60+index(split(D84,"":""),2 )))/0.2+1)*$N$3,"""")"),"")</f>
        <v/>
      </c>
      <c r="F84" s="16" t="str">
        <f t="shared" ca="1" si="9"/>
        <v/>
      </c>
      <c r="G84" s="16"/>
      <c r="H84" s="22" t="str">
        <f ca="1">IFERROR(__xludf.dummyfunction("iferror(1000+INT(($N$4-(index(split(G84,"":""),1)*60+index(split(G84,"":""),2 )))/0.2+1)*$N$5,"""")"),"")</f>
        <v/>
      </c>
      <c r="I84" s="16" t="str">
        <f t="shared" ca="1" si="10"/>
        <v/>
      </c>
      <c r="J84" s="16" t="str">
        <f t="shared" si="11"/>
        <v/>
      </c>
      <c r="K84" s="16" t="str">
        <f t="shared" si="12"/>
        <v/>
      </c>
      <c r="L84" s="16"/>
    </row>
    <row r="85" spans="1:12" ht="14.5" x14ac:dyDescent="0.35">
      <c r="A85" s="16"/>
      <c r="B85" s="16"/>
      <c r="C85" s="16"/>
      <c r="D85" s="16"/>
      <c r="E85" s="22" t="str">
        <f ca="1">IFERROR(__xludf.dummyfunction("iferror(1000+INT(($N$2-(index(split(D85,"":""),1)*60+index(split(D85,"":""),2 )))/0.2+1)*$N$3,"""")"),"")</f>
        <v/>
      </c>
      <c r="F85" s="16" t="str">
        <f t="shared" ca="1" si="9"/>
        <v/>
      </c>
      <c r="G85" s="16"/>
      <c r="H85" s="22" t="str">
        <f ca="1">IFERROR(__xludf.dummyfunction("iferror(1000+INT(($N$4-(index(split(G85,"":""),1)*60+index(split(G85,"":""),2 )))/0.2+1)*$N$5,"""")"),"")</f>
        <v/>
      </c>
      <c r="I85" s="16" t="str">
        <f t="shared" ca="1" si="10"/>
        <v/>
      </c>
      <c r="J85" s="16" t="str">
        <f t="shared" si="11"/>
        <v/>
      </c>
      <c r="K85" s="16" t="str">
        <f t="shared" si="12"/>
        <v/>
      </c>
      <c r="L85" s="16"/>
    </row>
    <row r="86" spans="1:12" ht="14.5" x14ac:dyDescent="0.35">
      <c r="A86" s="16"/>
      <c r="B86" s="16"/>
      <c r="C86" s="16"/>
      <c r="D86" s="16"/>
      <c r="E86" s="22" t="str">
        <f ca="1">IFERROR(__xludf.dummyfunction("iferror(1000+INT(($N$2-(index(split(D86,"":""),1)*60+index(split(D86,"":""),2 )))/0.2+1)*$N$3,"""")"),"")</f>
        <v/>
      </c>
      <c r="F86" s="16" t="str">
        <f t="shared" ca="1" si="9"/>
        <v/>
      </c>
      <c r="G86" s="16"/>
      <c r="H86" s="22" t="str">
        <f ca="1">IFERROR(__xludf.dummyfunction("iferror(1000+INT(($N$4-(index(split(G86,"":""),1)*60+index(split(G86,"":""),2 )))/0.2+1)*$N$5,"""")"),"")</f>
        <v/>
      </c>
      <c r="I86" s="16" t="str">
        <f t="shared" ca="1" si="10"/>
        <v/>
      </c>
      <c r="J86" s="16" t="str">
        <f t="shared" si="11"/>
        <v/>
      </c>
      <c r="K86" s="16" t="str">
        <f t="shared" si="12"/>
        <v/>
      </c>
      <c r="L86" s="16"/>
    </row>
    <row r="87" spans="1:12" ht="14.5" x14ac:dyDescent="0.35">
      <c r="A87" s="16"/>
      <c r="B87" s="16"/>
      <c r="C87" s="16"/>
      <c r="D87" s="16"/>
      <c r="E87" s="22" t="str">
        <f ca="1">IFERROR(__xludf.dummyfunction("iferror(1000+INT(($N$2-(index(split(D87,"":""),1)*60+index(split(D87,"":""),2 )))/0.2+1)*$N$3,"""")"),"")</f>
        <v/>
      </c>
      <c r="F87" s="16" t="str">
        <f t="shared" ca="1" si="9"/>
        <v/>
      </c>
      <c r="G87" s="16"/>
      <c r="H87" s="22" t="str">
        <f ca="1">IFERROR(__xludf.dummyfunction("iferror(1000+INT(($N$4-(index(split(G87,"":""),1)*60+index(split(G87,"":""),2 )))/0.2+1)*$N$5,"""")"),"")</f>
        <v/>
      </c>
      <c r="I87" s="16" t="str">
        <f t="shared" ca="1" si="10"/>
        <v/>
      </c>
      <c r="J87" s="16" t="str">
        <f t="shared" si="11"/>
        <v/>
      </c>
      <c r="K87" s="16" t="str">
        <f t="shared" si="12"/>
        <v/>
      </c>
      <c r="L87" s="16"/>
    </row>
    <row r="88" spans="1:12" ht="14.5" x14ac:dyDescent="0.35">
      <c r="A88" s="16"/>
      <c r="B88" s="16"/>
      <c r="C88" s="16"/>
      <c r="D88" s="16"/>
      <c r="E88" s="22" t="str">
        <f ca="1">IFERROR(__xludf.dummyfunction("iferror(1000+INT(($N$2-(index(split(D88,"":""),1)*60+index(split(D88,"":""),2 )))/0.2+1)*$N$3,"""")"),"")</f>
        <v/>
      </c>
      <c r="F88" s="16" t="str">
        <f t="shared" ca="1" si="9"/>
        <v/>
      </c>
      <c r="G88" s="16"/>
      <c r="H88" s="22" t="str">
        <f ca="1">IFERROR(__xludf.dummyfunction("iferror(1000+INT(($N$4-(index(split(G88,"":""),1)*60+index(split(G88,"":""),2 )))/0.2+1)*$N$5,"""")"),"")</f>
        <v/>
      </c>
      <c r="I88" s="16" t="str">
        <f t="shared" ca="1" si="10"/>
        <v/>
      </c>
      <c r="J88" s="16" t="str">
        <f t="shared" si="11"/>
        <v/>
      </c>
      <c r="K88" s="16" t="str">
        <f t="shared" si="12"/>
        <v/>
      </c>
      <c r="L88" s="16"/>
    </row>
    <row r="89" spans="1:12" ht="14.5" x14ac:dyDescent="0.35">
      <c r="A89" s="16"/>
      <c r="B89" s="16"/>
      <c r="C89" s="16"/>
      <c r="D89" s="16"/>
      <c r="E89" s="22" t="str">
        <f ca="1">IFERROR(__xludf.dummyfunction("iferror(1000+INT(($N$2-(index(split(D89,"":""),1)*60+index(split(D89,"":""),2 )))/0.2+1)*$N$3,"""")"),"")</f>
        <v/>
      </c>
      <c r="F89" s="16" t="str">
        <f t="shared" ca="1" si="9"/>
        <v/>
      </c>
      <c r="G89" s="16"/>
      <c r="H89" s="22" t="str">
        <f ca="1">IFERROR(__xludf.dummyfunction("iferror(1000+INT(($N$4-(index(split(G89,"":""),1)*60+index(split(G89,"":""),2 )))/0.2+1)*$N$5,"""")"),"")</f>
        <v/>
      </c>
      <c r="I89" s="16" t="str">
        <f t="shared" ca="1" si="10"/>
        <v/>
      </c>
      <c r="J89" s="16" t="str">
        <f t="shared" si="11"/>
        <v/>
      </c>
      <c r="K89" s="16" t="str">
        <f t="shared" si="12"/>
        <v/>
      </c>
      <c r="L89" s="16"/>
    </row>
    <row r="90" spans="1:12" ht="14.5" x14ac:dyDescent="0.35">
      <c r="A90" s="16"/>
      <c r="B90" s="16"/>
      <c r="C90" s="16"/>
      <c r="D90" s="16"/>
      <c r="E90" s="22" t="str">
        <f ca="1">IFERROR(__xludf.dummyfunction("iferror(1000+INT(($N$2-(index(split(D90,"":""),1)*60+index(split(D90,"":""),2 )))/0.2+1)*$N$3,"""")"),"")</f>
        <v/>
      </c>
      <c r="F90" s="16" t="str">
        <f t="shared" ca="1" si="9"/>
        <v/>
      </c>
      <c r="G90" s="16"/>
      <c r="H90" s="22" t="str">
        <f ca="1">IFERROR(__xludf.dummyfunction("iferror(1000+INT(($N$4-(index(split(G90,"":""),1)*60+index(split(G90,"":""),2 )))/0.2+1)*$N$5,"""")"),"")</f>
        <v/>
      </c>
      <c r="I90" s="16" t="str">
        <f t="shared" ca="1" si="10"/>
        <v/>
      </c>
      <c r="J90" s="16" t="str">
        <f t="shared" si="11"/>
        <v/>
      </c>
      <c r="K90" s="16" t="str">
        <f t="shared" si="12"/>
        <v/>
      </c>
      <c r="L90" s="16"/>
    </row>
    <row r="91" spans="1:12" ht="14.5" x14ac:dyDescent="0.35">
      <c r="A91" s="16"/>
      <c r="B91" s="16"/>
      <c r="C91" s="16"/>
      <c r="D91" s="16"/>
      <c r="E91" s="22" t="str">
        <f ca="1">IFERROR(__xludf.dummyfunction("iferror(1000+INT(($N$2-(index(split(D91,"":""),1)*60+index(split(D91,"":""),2 )))/0.2+1)*$N$3,"""")"),"")</f>
        <v/>
      </c>
      <c r="F91" s="16" t="str">
        <f t="shared" ca="1" si="9"/>
        <v/>
      </c>
      <c r="G91" s="16"/>
      <c r="H91" s="22" t="str">
        <f ca="1">IFERROR(__xludf.dummyfunction("iferror(1000+INT(($N$4-(index(split(G91,"":""),1)*60+index(split(G91,"":""),2 )))/0.2+1)*$N$5,"""")"),"")</f>
        <v/>
      </c>
      <c r="I91" s="16" t="str">
        <f t="shared" ca="1" si="10"/>
        <v/>
      </c>
      <c r="J91" s="16" t="str">
        <f t="shared" si="11"/>
        <v/>
      </c>
      <c r="K91" s="16" t="str">
        <f t="shared" si="12"/>
        <v/>
      </c>
      <c r="L91" s="16"/>
    </row>
    <row r="92" spans="1:12" ht="14.5" x14ac:dyDescent="0.35">
      <c r="A92" s="16"/>
      <c r="B92" s="16"/>
      <c r="C92" s="16"/>
      <c r="D92" s="16"/>
      <c r="E92" s="22" t="str">
        <f ca="1">IFERROR(__xludf.dummyfunction("iferror(1000+INT(($N$2-(index(split(D92,"":""),1)*60+index(split(D92,"":""),2 )))/0.2+1)*$N$3,"""")"),"")</f>
        <v/>
      </c>
      <c r="F92" s="16" t="str">
        <f t="shared" ca="1" si="9"/>
        <v/>
      </c>
      <c r="G92" s="16"/>
      <c r="H92" s="22" t="str">
        <f ca="1">IFERROR(__xludf.dummyfunction("iferror(1000+INT(($N$4-(index(split(G92,"":""),1)*60+index(split(G92,"":""),2 )))/0.2+1)*$N$5,"""")"),"")</f>
        <v/>
      </c>
      <c r="I92" s="16" t="str">
        <f t="shared" ca="1" si="10"/>
        <v/>
      </c>
      <c r="J92" s="16" t="str">
        <f t="shared" si="11"/>
        <v/>
      </c>
      <c r="K92" s="16" t="str">
        <f t="shared" si="12"/>
        <v/>
      </c>
      <c r="L92" s="16"/>
    </row>
    <row r="93" spans="1:12" ht="14.5" x14ac:dyDescent="0.35">
      <c r="A93" s="16"/>
      <c r="B93" s="16"/>
      <c r="C93" s="16"/>
      <c r="D93" s="16"/>
      <c r="E93" s="22" t="str">
        <f ca="1">IFERROR(__xludf.dummyfunction("iferror(1000+INT(($N$2-(index(split(D93,"":""),1)*60+index(split(D93,"":""),2 )))/0.2+1)*$N$3,"""")"),"")</f>
        <v/>
      </c>
      <c r="F93" s="16" t="str">
        <f t="shared" ca="1" si="9"/>
        <v/>
      </c>
      <c r="G93" s="16"/>
      <c r="H93" s="22" t="str">
        <f ca="1">IFERROR(__xludf.dummyfunction("iferror(1000+INT(($N$4-(index(split(G93,"":""),1)*60+index(split(G93,"":""),2 )))/0.2+1)*$N$5,"""")"),"")</f>
        <v/>
      </c>
      <c r="I93" s="16" t="str">
        <f t="shared" ca="1" si="10"/>
        <v/>
      </c>
      <c r="J93" s="16" t="str">
        <f t="shared" si="11"/>
        <v/>
      </c>
      <c r="K93" s="16" t="str">
        <f t="shared" si="12"/>
        <v/>
      </c>
      <c r="L93" s="16"/>
    </row>
    <row r="94" spans="1:12" ht="14.5" x14ac:dyDescent="0.35">
      <c r="A94" s="16"/>
      <c r="B94" s="16"/>
      <c r="C94" s="16"/>
      <c r="D94" s="16"/>
      <c r="E94" s="22" t="str">
        <f ca="1">IFERROR(__xludf.dummyfunction("iferror(1000+INT(($N$2-(index(split(D94,"":""),1)*60+index(split(D94,"":""),2 )))/0.2+1)*$N$3,"""")"),"")</f>
        <v/>
      </c>
      <c r="F94" s="16" t="str">
        <f t="shared" ca="1" si="9"/>
        <v/>
      </c>
      <c r="G94" s="16"/>
      <c r="H94" s="22" t="str">
        <f ca="1">IFERROR(__xludf.dummyfunction("iferror(1000+INT(($N$4-(index(split(G94,"":""),1)*60+index(split(G94,"":""),2 )))/0.2+1)*$N$5,"""")"),"")</f>
        <v/>
      </c>
      <c r="I94" s="16" t="str">
        <f t="shared" ca="1" si="10"/>
        <v/>
      </c>
      <c r="J94" s="16" t="str">
        <f t="shared" si="11"/>
        <v/>
      </c>
      <c r="K94" s="16" t="str">
        <f t="shared" si="12"/>
        <v/>
      </c>
      <c r="L94" s="16"/>
    </row>
    <row r="95" spans="1:12" ht="14.5" x14ac:dyDescent="0.35">
      <c r="A95" s="16"/>
      <c r="B95" s="16"/>
      <c r="C95" s="16"/>
      <c r="D95" s="16"/>
      <c r="E95" s="22" t="str">
        <f ca="1">IFERROR(__xludf.dummyfunction("iferror(1000+INT(($N$2-(index(split(D95,"":""),1)*60+index(split(D95,"":""),2 )))/0.2+1)*$N$3,"""")"),"")</f>
        <v/>
      </c>
      <c r="F95" s="16" t="str">
        <f t="shared" ca="1" si="9"/>
        <v/>
      </c>
      <c r="G95" s="16"/>
      <c r="H95" s="22" t="str">
        <f ca="1">IFERROR(__xludf.dummyfunction("iferror(1000+INT(($N$4-(index(split(G95,"":""),1)*60+index(split(G95,"":""),2 )))/0.2+1)*$N$5,"""")"),"")</f>
        <v/>
      </c>
      <c r="I95" s="16" t="str">
        <f t="shared" ca="1" si="10"/>
        <v/>
      </c>
      <c r="J95" s="16" t="str">
        <f t="shared" si="11"/>
        <v/>
      </c>
      <c r="K95" s="16" t="str">
        <f t="shared" si="12"/>
        <v/>
      </c>
      <c r="L95" s="16"/>
    </row>
    <row r="96" spans="1:12" ht="14.5" x14ac:dyDescent="0.35">
      <c r="A96" s="16"/>
      <c r="B96" s="16"/>
      <c r="C96" s="16"/>
      <c r="D96" s="16"/>
      <c r="E96" s="22" t="str">
        <f ca="1">IFERROR(__xludf.dummyfunction("iferror(1000+INT(($N$2-(index(split(D96,"":""),1)*60+index(split(D96,"":""),2 )))/0.2+1)*$N$3,"""")"),"")</f>
        <v/>
      </c>
      <c r="F96" s="16" t="str">
        <f t="shared" ca="1" si="9"/>
        <v/>
      </c>
      <c r="G96" s="16"/>
      <c r="H96" s="22" t="str">
        <f ca="1">IFERROR(__xludf.dummyfunction("iferror(1000+INT(($N$4-(index(split(G96,"":""),1)*60+index(split(G96,"":""),2 )))/0.2+1)*$N$5,"""")"),"")</f>
        <v/>
      </c>
      <c r="I96" s="16" t="str">
        <f t="shared" ca="1" si="10"/>
        <v/>
      </c>
      <c r="J96" s="16" t="str">
        <f t="shared" si="11"/>
        <v/>
      </c>
      <c r="K96" s="16" t="str">
        <f t="shared" si="12"/>
        <v/>
      </c>
      <c r="L96" s="16"/>
    </row>
    <row r="97" spans="1:12" ht="14.5" x14ac:dyDescent="0.35">
      <c r="A97" s="16"/>
      <c r="B97" s="16"/>
      <c r="C97" s="16"/>
      <c r="D97" s="16"/>
      <c r="E97" s="22" t="str">
        <f ca="1">IFERROR(__xludf.dummyfunction("iferror(1000+INT(($N$2-(index(split(D97,"":""),1)*60+index(split(D97,"":""),2 )))/0.2+1)*$N$3,"""")"),"")</f>
        <v/>
      </c>
      <c r="F97" s="16" t="str">
        <f t="shared" ca="1" si="9"/>
        <v/>
      </c>
      <c r="G97" s="16"/>
      <c r="H97" s="22" t="str">
        <f ca="1">IFERROR(__xludf.dummyfunction("iferror(1000+INT(($N$4-(index(split(G97,"":""),1)*60+index(split(G97,"":""),2 )))/0.2+1)*$N$5,"""")"),"")</f>
        <v/>
      </c>
      <c r="I97" s="16" t="str">
        <f t="shared" ca="1" si="10"/>
        <v/>
      </c>
      <c r="J97" s="16" t="str">
        <f t="shared" si="11"/>
        <v/>
      </c>
      <c r="K97" s="16" t="str">
        <f t="shared" si="12"/>
        <v/>
      </c>
      <c r="L97" s="16"/>
    </row>
    <row r="98" spans="1:12" ht="14.5" x14ac:dyDescent="0.35">
      <c r="A98" s="16"/>
      <c r="B98" s="16"/>
      <c r="C98" s="16"/>
      <c r="D98" s="16"/>
      <c r="E98" s="22" t="str">
        <f ca="1">IFERROR(__xludf.dummyfunction("iferror(1000+INT(($N$2-(index(split(D98,"":""),1)*60+index(split(D98,"":""),2 )))/0.2+1)*$N$3,"""")"),"")</f>
        <v/>
      </c>
      <c r="F98" s="16" t="str">
        <f t="shared" ref="F98:F129" ca="1" si="13">IFERROR(_xlfn.RANK.EQ(E98,E:E),"")</f>
        <v/>
      </c>
      <c r="G98" s="16"/>
      <c r="H98" s="22" t="str">
        <f ca="1">IFERROR(__xludf.dummyfunction("iferror(1000+INT(($N$4-(index(split(G98,"":""),1)*60+index(split(G98,"":""),2 )))/0.2+1)*$N$5,"""")"),"")</f>
        <v/>
      </c>
      <c r="I98" s="16" t="str">
        <f t="shared" ref="I98:I129" ca="1" si="14">IFERROR(_xlfn.RANK.EQ(H98,H:H),"")</f>
        <v/>
      </c>
      <c r="J98" s="16" t="str">
        <f t="shared" si="11"/>
        <v/>
      </c>
      <c r="K98" s="16" t="str">
        <f t="shared" ref="K98:K129" si="15">IFERROR(_xlfn.RANK.EQ(J98,J:J),"")</f>
        <v/>
      </c>
      <c r="L98" s="16"/>
    </row>
    <row r="99" spans="1:12" ht="14.5" x14ac:dyDescent="0.35">
      <c r="A99" s="16"/>
      <c r="B99" s="16"/>
      <c r="C99" s="16"/>
      <c r="D99" s="16"/>
      <c r="E99" s="22" t="str">
        <f ca="1">IFERROR(__xludf.dummyfunction("iferror(1000+INT(($N$2-(index(split(D99,"":""),1)*60+index(split(D99,"":""),2 )))/0.2+1)*$N$3,"""")"),"")</f>
        <v/>
      </c>
      <c r="F99" s="16" t="str">
        <f t="shared" ca="1" si="13"/>
        <v/>
      </c>
      <c r="G99" s="16"/>
      <c r="H99" s="22" t="str">
        <f ca="1">IFERROR(__xludf.dummyfunction("iferror(1000+INT(($N$4-(index(split(G99,"":""),1)*60+index(split(G99,"":""),2 )))/0.2+1)*$N$5,"""")"),"")</f>
        <v/>
      </c>
      <c r="I99" s="16" t="str">
        <f t="shared" ca="1" si="14"/>
        <v/>
      </c>
      <c r="J99" s="16" t="str">
        <f t="shared" si="11"/>
        <v/>
      </c>
      <c r="K99" s="16" t="str">
        <f t="shared" si="15"/>
        <v/>
      </c>
      <c r="L99" s="16"/>
    </row>
    <row r="100" spans="1:12" ht="14.5" x14ac:dyDescent="0.35">
      <c r="A100" s="16"/>
      <c r="B100" s="16"/>
      <c r="C100" s="16"/>
      <c r="D100" s="16"/>
      <c r="E100" s="22" t="str">
        <f ca="1">IFERROR(__xludf.dummyfunction("iferror(1000+INT(($N$2-(index(split(D100,"":""),1)*60+index(split(D100,"":""),2 )))/0.2+1)*$N$3,"""")"),"")</f>
        <v/>
      </c>
      <c r="F100" s="16" t="str">
        <f t="shared" ca="1" si="13"/>
        <v/>
      </c>
      <c r="G100" s="16"/>
      <c r="H100" s="22" t="str">
        <f ca="1">IFERROR(__xludf.dummyfunction("iferror(1000+INT(($N$4-(index(split(G100,"":""),1)*60+index(split(G100,"":""),2 )))/0.2+1)*$N$5,"""")"),"")</f>
        <v/>
      </c>
      <c r="I100" s="16" t="str">
        <f t="shared" ca="1" si="14"/>
        <v/>
      </c>
      <c r="J100" s="16" t="str">
        <f t="shared" si="11"/>
        <v/>
      </c>
      <c r="K100" s="16" t="str">
        <f t="shared" si="15"/>
        <v/>
      </c>
      <c r="L100" s="16"/>
    </row>
    <row r="101" spans="1:12" ht="14.5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4.5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4.5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4.5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4.5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4.5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4.5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4.5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4.5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4.5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4.5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4.5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4.5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4.5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4.5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4.5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4.5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4.5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4.5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4.5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4.5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4.5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4.5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4.5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4.5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4.5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4.5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4.5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4.5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4.5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4.5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4.5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4.5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4.5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4.5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4.5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4.5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4.5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4.5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4.5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4.5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4.5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4.5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4.5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4.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4.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4.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4.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4.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4.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4.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4.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4.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4.5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4.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4.5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4.5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4.5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4.5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4.5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4.5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4.5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ht="14.5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4.5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ht="14.5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ht="14.5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4.5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4.5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5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4.5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4.5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4.5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4.5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4.5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4.5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4.5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4.5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4.5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4.5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4.5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4.5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4.5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4.5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4.5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4.5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4.5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4.5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4.5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4.5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4.5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4.5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4.5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4.5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4.5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4.5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4.5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4.5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4.5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4.5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4.5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4.5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4.5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4.5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4.5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4.5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4.5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4.5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4.5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4.5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4.5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4.5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4.5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4.5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4.5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4.5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4.5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4.5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4.5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4.5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4.5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4.5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4.5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4.5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4.5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4.5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4.5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4.5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4.5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4.5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4.5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4.5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4.5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4.5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5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4.5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4.5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4.5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4.5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4.5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4.5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4.5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4.5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4.5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4.5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4.5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4.5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4.5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4.5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4.5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4.5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4.5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4.5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4.5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4.5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4.5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4.5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4.5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4.5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4.5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4.5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4.5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4.5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4.5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4.5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4.5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4.5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4.5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4.5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4.5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4.5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4.5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4.5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4.5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4.5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4.5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4.5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4.5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4.5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4.5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4.5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4.5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4.5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4.5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4.5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4.5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4.5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4.5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4.5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4.5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4.5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4.5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4.5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4.5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4.5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4.5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4.5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4.5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4.5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4.5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4.5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4.5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4.5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4.5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4.5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4.5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4.5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4.5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4.5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4.5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4.5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4.5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4.5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4.5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4.5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4.5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4.5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4.5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4.5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4.5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4.5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4.5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4.5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4.5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4.5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4.5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4.5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4.5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4.5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4.5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4.5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4.5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4.5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4.5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4.5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4.5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4.5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4.5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4.5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4.5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4.5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4.5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4.5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4.5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4.5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4.5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4.5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4.5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4.5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4.5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4.5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4.5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4.5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4.5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4.5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4.5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4.5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4.5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4.5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4.5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4.5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4.5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4.5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4.5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4.5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4.5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4.5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4.5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4.5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4.5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4.5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4.5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4.5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4.5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4.5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4.5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4.5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4.5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4.5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4.5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ht="14.5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ht="14.5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ht="14.5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ht="14.5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ht="14.5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ht="14.5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ht="14.5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ht="14.5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ht="14.5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ht="14.5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ht="14.5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ht="14.5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ht="14.5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ht="14.5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ht="14.5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ht="14.5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ht="14.5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ht="14.5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ht="14.5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ht="14.5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ht="14.5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ht="14.5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ht="14.5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ht="14.5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ht="14.5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ht="14.5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ht="14.5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ht="14.5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ht="14.5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ht="14.5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ht="14.5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ht="14.5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ht="14.5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ht="14.5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ht="14.5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ht="14.5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ht="14.5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ht="14.5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ht="14.5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ht="14.5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ht="14.5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ht="14.5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ht="14.5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ht="14.5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ht="14.5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ht="14.5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ht="14.5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ht="14.5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ht="14.5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ht="14.5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ht="14.5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ht="14.5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ht="14.5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ht="14.5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ht="14.5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ht="14.5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ht="14.5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ht="14.5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 ht="14.5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 ht="14.5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 ht="14.5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 ht="14.5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 ht="14.5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 ht="14.5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 ht="14.5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 ht="14.5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 ht="14.5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 ht="14.5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 ht="14.5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 ht="14.5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 ht="14.5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 ht="14.5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 ht="14.5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 ht="14.5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 ht="14.5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 ht="14.5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 ht="14.5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 ht="14.5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 ht="14.5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 ht="14.5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 ht="14.5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 ht="14.5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 ht="14.5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 ht="14.5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 ht="14.5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 ht="14.5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 ht="14.5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 ht="14.5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 ht="14.5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 ht="14.5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 ht="14.5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 ht="14.5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 ht="14.5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 ht="14.5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 ht="14.5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 ht="14.5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 ht="14.5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 ht="14.5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 ht="14.5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 ht="14.5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 ht="14.5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 ht="14.5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 ht="14.5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 ht="14.5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 ht="14.5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 ht="14.5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 ht="14.5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 ht="14.5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 ht="14.5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 ht="14.5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 ht="14.5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 ht="14.5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 ht="14.5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 ht="14.5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 ht="14.5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 ht="14.5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 ht="14.5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 ht="14.5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 ht="14.5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 ht="14.5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 ht="14.5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 ht="14.5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 ht="14.5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 ht="14.5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 ht="14.5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 ht="14.5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 ht="14.5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 ht="14.5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 ht="14.5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 ht="14.5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 ht="14.5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 ht="14.5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 ht="14.5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 ht="14.5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 ht="14.5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 ht="14.5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 ht="14.5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 ht="14.5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 ht="14.5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 ht="14.5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 ht="14.5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ht="14.5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ht="14.5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ht="14.5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ht="14.5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ht="14.5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ht="14.5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ht="14.5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ht="14.5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 ht="14.5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 ht="14.5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 ht="14.5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 ht="14.5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 ht="14.5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 ht="14.5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 ht="14.5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 ht="14.5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 ht="14.5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 ht="14.5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 ht="14.5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 ht="14.5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 ht="14.5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 ht="14.5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 ht="14.5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 ht="14.5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 ht="14.5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 ht="14.5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 ht="14.5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 ht="14.5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 ht="14.5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 ht="14.5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 ht="14.5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 ht="14.5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 ht="14.5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 ht="14.5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 ht="14.5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 ht="14.5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 ht="14.5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 ht="14.5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 ht="14.5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 ht="14.5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 ht="14.5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 ht="14.5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 ht="14.5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 ht="14.5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 ht="14.5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 ht="14.5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 ht="14.5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 ht="14.5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 ht="14.5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 ht="14.5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 ht="14.5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 ht="14.5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 ht="14.5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 ht="14.5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 ht="14.5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 ht="14.5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 ht="14.5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 ht="14.5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 ht="14.5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 ht="14.5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 ht="14.5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 ht="14.5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 ht="14.5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 ht="14.5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 ht="14.5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 ht="14.5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 ht="14.5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 ht="14.5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 ht="14.5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 ht="14.5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 ht="14.5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 ht="14.5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 ht="14.5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 ht="14.5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 ht="14.5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 ht="14.5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 ht="14.5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 ht="14.5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 ht="14.5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 ht="14.5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 ht="14.5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 ht="14.5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 ht="14.5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 ht="14.5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 ht="14.5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 ht="14.5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 ht="14.5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 ht="14.5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 ht="14.5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 ht="14.5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 ht="14.5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 ht="14.5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 ht="14.5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 ht="14.5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 ht="14.5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 ht="14.5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 ht="14.5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 ht="14.5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 ht="14.5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 ht="14.5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 ht="14.5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 ht="14.5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 ht="14.5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 ht="14.5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 ht="14.5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 ht="14.5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 ht="14.5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 ht="14.5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 ht="14.5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 ht="14.5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 ht="14.5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 ht="14.5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 ht="14.5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 ht="14.5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 ht="14.5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 ht="14.5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 ht="14.5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 ht="14.5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 ht="14.5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 ht="14.5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 ht="14.5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 ht="14.5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 ht="14.5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 ht="14.5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 ht="14.5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 ht="14.5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 ht="14.5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 ht="14.5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 ht="14.5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 ht="14.5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 ht="14.5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 ht="14.5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 ht="14.5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 ht="14.5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 ht="14.5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 ht="14.5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 ht="14.5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 ht="14.5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 ht="14.5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 ht="14.5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 ht="14.5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 ht="14.5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 ht="14.5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 ht="14.5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 ht="14.5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 ht="14.5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 ht="14.5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 ht="14.5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 ht="14.5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 ht="14.5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 ht="14.5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 ht="14.5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 ht="14.5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 ht="14.5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 ht="14.5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 ht="14.5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 ht="14.5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 ht="14.5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 ht="14.5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 ht="14.5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 ht="14.5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 ht="14.5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 ht="14.5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 ht="14.5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 ht="14.5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 ht="14.5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 ht="14.5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 ht="14.5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 ht="14.5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 ht="14.5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 ht="14.5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 ht="14.5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 ht="14.5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 ht="14.5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 ht="14.5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 ht="14.5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 ht="14.5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 ht="14.5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 ht="14.5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 ht="14.5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 ht="14.5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 ht="14.5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 ht="14.5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 ht="14.5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 ht="14.5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 ht="14.5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 ht="14.5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 ht="14.5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 ht="14.5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 ht="14.5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 ht="14.5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 ht="14.5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 ht="14.5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 ht="14.5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 ht="14.5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 ht="14.5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 ht="14.5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 ht="14.5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 ht="14.5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 ht="14.5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 ht="14.5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 ht="14.5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 ht="14.5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 ht="14.5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 ht="14.5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 ht="14.5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 ht="14.5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 ht="14.5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 ht="14.5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 ht="14.5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 ht="14.5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 ht="14.5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 ht="14.5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 ht="14.5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 ht="14.5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 ht="14.5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 ht="14.5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 ht="14.5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 ht="14.5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 ht="14.5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 ht="14.5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 ht="14.5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 ht="14.5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 ht="14.5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 ht="14.5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 ht="14.5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 ht="14.5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 ht="14.5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 ht="14.5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 ht="14.5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 ht="14.5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 ht="14.5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 ht="14.5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 ht="14.5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 ht="14.5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 ht="14.5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 ht="14.5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 ht="14.5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 ht="14.5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 ht="14.5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 ht="14.5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 ht="14.5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 ht="14.5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 ht="14.5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 ht="14.5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 ht="14.5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 ht="14.5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 ht="14.5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 ht="14.5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 ht="14.5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 ht="14.5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 ht="14.5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 ht="14.5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 ht="14.5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 ht="14.5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 ht="14.5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 ht="14.5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 ht="14.5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 ht="14.5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 ht="14.5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 ht="14.5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 ht="14.5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 ht="14.5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 ht="14.5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 ht="14.5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 ht="14.5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 ht="14.5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 ht="14.5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 ht="14.5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 ht="14.5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 ht="14.5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 ht="14.5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 ht="14.5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 ht="14.5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 ht="14.5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 ht="14.5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 ht="14.5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 ht="14.5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 ht="14.5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 ht="14.5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 ht="14.5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 ht="14.5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 ht="14.5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 ht="14.5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 ht="14.5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 ht="14.5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 ht="14.5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 ht="14.5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 ht="14.5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 ht="14.5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 ht="14.5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 ht="14.5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 ht="14.5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 ht="14.5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 ht="14.5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 ht="14.5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 ht="14.5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 ht="14.5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 ht="14.5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 ht="14.5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 ht="14.5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 ht="14.5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 ht="14.5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 ht="14.5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 ht="14.5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 ht="14.5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 ht="14.5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 ht="14.5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 ht="14.5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 ht="14.5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 ht="14.5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 ht="14.5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 ht="14.5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 ht="14.5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 ht="14.5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 ht="14.5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 ht="14.5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 ht="14.5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 ht="14.5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 ht="14.5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 ht="14.5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 ht="14.5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 ht="14.5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 ht="14.5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 ht="14.5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 ht="14.5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 ht="14.5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 ht="14.5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 ht="14.5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 ht="14.5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 ht="14.5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 ht="14.5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 ht="14.5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 ht="14.5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 ht="14.5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 ht="14.5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 ht="14.5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 ht="14.5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 ht="14.5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 ht="14.5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 ht="14.5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 ht="14.5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 ht="14.5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 ht="14.5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 ht="14.5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 ht="14.5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 ht="14.5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 ht="14.5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 ht="14.5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 ht="14.5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 ht="14.5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 ht="14.5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 ht="14.5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 ht="14.5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 ht="14.5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 ht="14.5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 ht="14.5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 ht="14.5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 ht="14.5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 ht="14.5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 ht="14.5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 ht="14.5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 ht="14.5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 ht="14.5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 ht="14.5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 ht="14.5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 ht="14.5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 ht="14.5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 ht="14.5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 ht="14.5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 ht="14.5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 ht="14.5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 ht="14.5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 ht="14.5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 ht="14.5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 ht="14.5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 ht="14.5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 ht="14.5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 ht="14.5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 ht="14.5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 ht="14.5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 ht="14.5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 ht="14.5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 ht="14.5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 ht="14.5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 ht="14.5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 ht="14.5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 ht="14.5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 ht="14.5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 ht="14.5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 ht="14.5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 ht="14.5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 ht="14.5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 ht="14.5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 ht="14.5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 ht="14.5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 ht="14.5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 ht="14.5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 ht="14.5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 ht="14.5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 ht="14.5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 ht="14.5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 ht="14.5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 ht="14.5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 ht="14.5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</sheetData>
  <sortState xmlns:xlrd2="http://schemas.microsoft.com/office/spreadsheetml/2017/richdata2" ref="A2:L15">
    <sortCondition ref="K2:K15"/>
  </sortState>
  <printOptions horizontalCentered="1" gridLines="1"/>
  <pageMargins left="0.7" right="0.7" top="1.1437499999999998" bottom="1.1437499999999998" header="0.75" footer="0.75"/>
  <pageSetup paperSize="0" fitToWidth="0" fitToHeight="0" pageOrder="overThenDown" orientation="landscape" horizontalDpi="0" verticalDpi="0" copies="0"/>
  <headerFooter alignWithMargins="0"/>
  <ignoredErrors>
    <ignoredError sqref="J3:J23 C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'Scoring tables'!$A$2:$A$57</xm:f>
          </x14:formula1>
          <xm:sqref>L1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workbookViewId="0">
      <selection activeCell="L7" sqref="L7"/>
    </sheetView>
  </sheetViews>
  <sheetFormatPr defaultRowHeight="15.75" customHeight="1" x14ac:dyDescent="0.35"/>
  <cols>
    <col min="1" max="1" width="10.4140625" style="25" customWidth="1"/>
    <col min="2" max="2" width="23.58203125" style="25" customWidth="1"/>
    <col min="3" max="3" width="22.4140625" style="25" customWidth="1"/>
    <col min="4" max="11" width="8.4140625" style="25" customWidth="1"/>
    <col min="12" max="1024" width="11.6640625" style="25" customWidth="1"/>
    <col min="1025" max="16384" width="8.6640625" style="25"/>
  </cols>
  <sheetData>
    <row r="1" spans="1:14" ht="30.75" customHeight="1" x14ac:dyDescent="0.35">
      <c r="A1" s="20" t="s">
        <v>0</v>
      </c>
      <c r="B1" s="20" t="s">
        <v>26</v>
      </c>
      <c r="C1" s="20" t="s">
        <v>27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18</v>
      </c>
    </row>
    <row r="2" spans="1:14" ht="14.5" x14ac:dyDescent="0.35">
      <c r="A2" s="16">
        <f ca="1">IFERROR(__xludf.dummyfunction("Query(Entries!$A$2:$U$1205,""select A,C,D where B = '""&amp;L1&amp;""'"")"),162)</f>
        <v>162</v>
      </c>
      <c r="B2" s="5" t="str">
        <f ca="1">IFERROR(__xludf.dummyfunction("""COMPUTED_VALUE"""),"Cecilia Huepfl")</f>
        <v>Cecilia Huepfl</v>
      </c>
      <c r="C2" s="5" t="str">
        <f ca="1">IFERROR(__xludf.dummyfunction("""COMPUTED_VALUE"""),"St Helen and St Katharine School (Abingdon)")</f>
        <v>St Helen and St Katharine School (Abingdon)</v>
      </c>
      <c r="D2" s="16" t="s">
        <v>319</v>
      </c>
      <c r="E2" s="22">
        <f ca="1">IFERROR(__xludf.dummyfunction("iferror(1000+INT(($N$2-(index(split(D2,"":""),1)*60+index(split(D2,"":""),2 )))/0.2+1)*$N$3,"""")"),1068)</f>
        <v>1068</v>
      </c>
      <c r="F2" s="16">
        <f ca="1">IFERROR(_xlfn.RANK.EQ(E2,E:E),"")</f>
        <v>2</v>
      </c>
      <c r="G2" s="22" t="s">
        <v>320</v>
      </c>
      <c r="H2" s="22">
        <f ca="1">IFERROR(__xludf.dummyfunction("iferror(1000+INT(($N$4-(index(split(G2,"":""),1)*60+index(split(G2,"":""),2 )))/0.2+1)*$N$5,"""")"),1215)</f>
        <v>1215</v>
      </c>
      <c r="I2" s="16">
        <f ca="1">IFERROR(_xlfn.RANK.EQ(H2,H:H),"")</f>
        <v>1</v>
      </c>
      <c r="J2" s="22">
        <f ca="1">IF(AND(D2="", G2=""), "", E2+H2)</f>
        <v>2283</v>
      </c>
      <c r="K2" s="16">
        <f ca="1">IFERROR(_xlfn.RANK.EQ(J2,J:J),"")</f>
        <v>1</v>
      </c>
      <c r="L2" s="16"/>
      <c r="M2" s="21" t="s">
        <v>38</v>
      </c>
      <c r="N2" s="26">
        <f>VLOOKUP($L$1,'Scoring tables'!$A$2:$K$57,10,0)</f>
        <v>150</v>
      </c>
    </row>
    <row r="3" spans="1:14" ht="14.5" x14ac:dyDescent="0.35">
      <c r="A3" s="16">
        <f ca="1">IFERROR(__xludf.dummyfunction("""COMPUTED_VALUE"""),165)</f>
        <v>165</v>
      </c>
      <c r="B3" s="5" t="str">
        <f ca="1">IFERROR(__xludf.dummyfunction("""COMPUTED_VALUE"""),"Phoebe Carroll")</f>
        <v>Phoebe Carroll</v>
      </c>
      <c r="C3" s="5" t="str">
        <f ca="1">IFERROR(__xludf.dummyfunction("""COMPUTED_VALUE"""),"Altrincham Grammar School")</f>
        <v>Altrincham Grammar School</v>
      </c>
      <c r="D3" s="16" t="s">
        <v>325</v>
      </c>
      <c r="E3" s="22">
        <f ca="1">IFERROR(__xludf.dummyfunction("iferror(1000+INT(($N$2-(index(split(D5,"":""),1)*60+index(split(D5,"":""),2 )))/0.2+1)*$N$3,"""")"),1094)</f>
        <v>1094</v>
      </c>
      <c r="F3" s="16">
        <f ca="1">IFERROR(_xlfn.RANK.EQ(E3,E:E),"")</f>
        <v>1</v>
      </c>
      <c r="G3" s="16" t="s">
        <v>326</v>
      </c>
      <c r="H3" s="22">
        <f ca="1">IFERROR(__xludf.dummyfunction("iferror(1000+INT(($N$4-(index(split(G5,"":""),1)*60+index(split(G5,"":""),2 )))/0.2+1)*$N$5,"""")"),1111)</f>
        <v>1111</v>
      </c>
      <c r="I3" s="16">
        <f ca="1">IFERROR(_xlfn.RANK.EQ(H3,H:H),"")</f>
        <v>3</v>
      </c>
      <c r="J3" s="22">
        <f t="shared" ref="J3:J30" ca="1" si="0">IF(AND(D3="", G3=""), "", E3+H3)</f>
        <v>2205</v>
      </c>
      <c r="K3" s="16">
        <f ca="1">IFERROR(_xlfn.RANK.EQ(J3,J:J),"")</f>
        <v>2</v>
      </c>
      <c r="L3" s="16"/>
      <c r="M3" s="21" t="s">
        <v>39</v>
      </c>
      <c r="N3" s="26">
        <f>VLOOKUP($L$1,'Scoring tables'!$A$2:$K$57,11,0)</f>
        <v>2</v>
      </c>
    </row>
    <row r="4" spans="1:14" ht="14.5" x14ac:dyDescent="0.35">
      <c r="A4" s="16">
        <f ca="1">IFERROR(__xludf.dummyfunction("""COMPUTED_VALUE"""),164)</f>
        <v>164</v>
      </c>
      <c r="B4" s="5" t="str">
        <f ca="1">IFERROR(__xludf.dummyfunction("""COMPUTED_VALUE"""),"Lyra Krige")</f>
        <v>Lyra Krige</v>
      </c>
      <c r="C4" s="5" t="str">
        <f ca="1">IFERROR(__xludf.dummyfunction("""COMPUTED_VALUE"""),"St Michaels CE High School")</f>
        <v>St Michaels CE High School</v>
      </c>
      <c r="D4" s="16" t="s">
        <v>323</v>
      </c>
      <c r="E4" s="22">
        <f ca="1">IFERROR(__xludf.dummyfunction("iferror(1000+INT(($N$2-(index(split(D4,"":""),1)*60+index(split(D4,"":""),2 )))/0.2+1)*$N$3,"""")"),970)</f>
        <v>970</v>
      </c>
      <c r="F4" s="16">
        <f ca="1">IFERROR(_xlfn.RANK.EQ(E4,E:E),"")</f>
        <v>3</v>
      </c>
      <c r="G4" s="16" t="s">
        <v>324</v>
      </c>
      <c r="H4" s="22">
        <f ca="1">IFERROR(__xludf.dummyfunction("iferror(1000+INT(($N$4-(index(split(G4,"":""),1)*60+index(split(G4,"":""),2 )))/0.2+1)*$N$5,"""")"),1201)</f>
        <v>1201</v>
      </c>
      <c r="I4" s="16">
        <f ca="1">IFERROR(_xlfn.RANK.EQ(H4,H:H),"")</f>
        <v>2</v>
      </c>
      <c r="J4" s="22">
        <f t="shared" ca="1" si="0"/>
        <v>2171</v>
      </c>
      <c r="K4" s="16">
        <f ca="1">IFERROR(_xlfn.RANK.EQ(J4,J:J),"")</f>
        <v>3</v>
      </c>
      <c r="L4" s="16"/>
      <c r="M4" s="21" t="s">
        <v>31</v>
      </c>
      <c r="N4" s="26">
        <f>VLOOKUP($L$1,'Scoring tables'!$A$2:$K$57,5,0)</f>
        <v>375</v>
      </c>
    </row>
    <row r="5" spans="1:14" ht="14.5" x14ac:dyDescent="0.35">
      <c r="A5" s="16">
        <f ca="1">IFERROR(__xludf.dummyfunction("""COMPUTED_VALUE"""),163)</f>
        <v>163</v>
      </c>
      <c r="B5" s="5" t="str">
        <f ca="1">IFERROR(__xludf.dummyfunction("""COMPUTED_VALUE"""),"Zoe Ballantyne")</f>
        <v>Zoe Ballantyne</v>
      </c>
      <c r="C5" s="5"/>
      <c r="D5" s="16" t="s">
        <v>321</v>
      </c>
      <c r="E5" s="22">
        <f ca="1">IFERROR(__xludf.dummyfunction("iferror(1000+INT(($N$2-(index(split(D3,"":""),1)*60+index(split(D3,"":""),2 )))/0.2+1)*$N$3,"""")"),962)</f>
        <v>962</v>
      </c>
      <c r="F5" s="16">
        <f ca="1">IFERROR(_xlfn.RANK.EQ(E5,E:E),"")</f>
        <v>4</v>
      </c>
      <c r="G5" s="16" t="s">
        <v>322</v>
      </c>
      <c r="H5" s="22">
        <f ca="1">IFERROR(__xludf.dummyfunction("iferror(1000+INT(($N$4-(index(split(G3,"":""),1)*60+index(split(G3,"":""),2 )))/0.2+1)*$N$5,"""")"),537)</f>
        <v>537</v>
      </c>
      <c r="I5" s="16">
        <f ca="1">IFERROR(_xlfn.RANK.EQ(H5,H:H),"")</f>
        <v>4</v>
      </c>
      <c r="J5" s="22">
        <f t="shared" ca="1" si="0"/>
        <v>1499</v>
      </c>
      <c r="K5" s="16">
        <f ca="1">IFERROR(_xlfn.RANK.EQ(J5,J:J),"")</f>
        <v>4</v>
      </c>
      <c r="L5" s="16"/>
      <c r="M5" s="21" t="s">
        <v>32</v>
      </c>
      <c r="N5" s="26">
        <f>VLOOKUP($L$1,'Scoring tables'!$A$2:$K$57,6,0)</f>
        <v>1</v>
      </c>
    </row>
    <row r="6" spans="1:14" ht="14.5" x14ac:dyDescent="0.35">
      <c r="A6" s="16"/>
      <c r="B6" s="16"/>
      <c r="C6" s="16"/>
      <c r="D6" s="16"/>
      <c r="E6" s="22" t="str">
        <f ca="1">IFERROR(__xludf.dummyfunction("iferror(1000+INT(($N$2-(index(split(D6,"":""),1)*60+index(split(D6,"":""),2 )))/0.2+1)*$N$3,"""")"),"")</f>
        <v/>
      </c>
      <c r="F6" s="16" t="str">
        <f t="shared" ref="F2:F33" ca="1" si="1">IFERROR(_xlfn.RANK.EQ(E6,E:E),"")</f>
        <v/>
      </c>
      <c r="G6" s="16"/>
      <c r="H6" s="22" t="str">
        <f ca="1">IFERROR(__xludf.dummyfunction("iferror(1000+INT(($N$4-(index(split(G6,"":""),1)*60+index(split(G6,"":""),2 )))/0.2+1)*$N$5,"""")"),"")</f>
        <v/>
      </c>
      <c r="I6" s="16" t="str">
        <f t="shared" ref="I2:I33" ca="1" si="2">IFERROR(_xlfn.RANK.EQ(H6,H:H),"")</f>
        <v/>
      </c>
      <c r="J6" s="22" t="str">
        <f t="shared" si="0"/>
        <v/>
      </c>
      <c r="K6" s="16" t="str">
        <f t="shared" ref="K2:K33" si="3">IFERROR(_xlfn.RANK.EQ(J6,J:J),"")</f>
        <v/>
      </c>
      <c r="L6" s="16"/>
    </row>
    <row r="7" spans="1:14" ht="14.5" x14ac:dyDescent="0.35">
      <c r="A7" s="16"/>
      <c r="B7" s="16"/>
      <c r="C7" s="16"/>
      <c r="D7" s="16"/>
      <c r="E7" s="22" t="str">
        <f ca="1">IFERROR(__xludf.dummyfunction("iferror(1000+INT(($N$2-(index(split(D7,"":""),1)*60+index(split(D7,"":""),2 )))/0.2+1)*$N$3,"""")"),"")</f>
        <v/>
      </c>
      <c r="F7" s="16" t="str">
        <f t="shared" ca="1" si="1"/>
        <v/>
      </c>
      <c r="G7" s="16"/>
      <c r="H7" s="22" t="str">
        <f ca="1">IFERROR(__xludf.dummyfunction("iferror(1000+INT(($N$4-(index(split(G7,"":""),1)*60+index(split(G7,"":""),2 )))/0.2+1)*$N$5,"""")"),"")</f>
        <v/>
      </c>
      <c r="I7" s="16" t="str">
        <f t="shared" ca="1" si="2"/>
        <v/>
      </c>
      <c r="J7" s="22" t="str">
        <f t="shared" si="0"/>
        <v/>
      </c>
      <c r="K7" s="16" t="str">
        <f t="shared" si="3"/>
        <v/>
      </c>
      <c r="L7" s="16"/>
    </row>
    <row r="8" spans="1:14" ht="14.5" x14ac:dyDescent="0.35">
      <c r="A8" s="16"/>
      <c r="B8" s="16"/>
      <c r="C8" s="16"/>
      <c r="D8" s="23"/>
      <c r="E8" s="22" t="str">
        <f ca="1">IFERROR(__xludf.dummyfunction("iferror(1000+INT(($N$2-(index(split(D8,"":""),1)*60+index(split(D8,"":""),2 )))/0.2+1)*$N$3,"""")"),"")</f>
        <v/>
      </c>
      <c r="F8" s="16" t="str">
        <f t="shared" ca="1" si="1"/>
        <v/>
      </c>
      <c r="G8" s="16"/>
      <c r="H8" s="22" t="str">
        <f ca="1">IFERROR(__xludf.dummyfunction("iferror(1000+INT(($N$4-(index(split(G8,"":""),1)*60+index(split(G8,"":""),2 )))/0.2+1)*$N$5,"""")"),"")</f>
        <v/>
      </c>
      <c r="I8" s="16" t="str">
        <f t="shared" ca="1" si="2"/>
        <v/>
      </c>
      <c r="J8" s="22" t="str">
        <f t="shared" si="0"/>
        <v/>
      </c>
      <c r="K8" s="16" t="str">
        <f t="shared" si="3"/>
        <v/>
      </c>
      <c r="L8" s="16"/>
    </row>
    <row r="9" spans="1:14" ht="14.5" x14ac:dyDescent="0.35">
      <c r="A9" s="16"/>
      <c r="B9" s="16"/>
      <c r="C9" s="16"/>
      <c r="D9" s="16"/>
      <c r="E9" s="22" t="str">
        <f ca="1">IFERROR(__xludf.dummyfunction("iferror(1000+INT(($N$2-(index(split(D9,"":""),1)*60+index(split(D9,"":""),2 )))/0.2+1)*$N$3,"""")"),"")</f>
        <v/>
      </c>
      <c r="F9" s="16" t="str">
        <f t="shared" ca="1" si="1"/>
        <v/>
      </c>
      <c r="G9" s="16"/>
      <c r="H9" s="22" t="str">
        <f ca="1">IFERROR(__xludf.dummyfunction("iferror(1000+INT(($N$4-(index(split(G9,"":""),1)*60+index(split(G9,"":""),2 )))/0.2+1)*$N$5,"""")"),"")</f>
        <v/>
      </c>
      <c r="I9" s="16" t="str">
        <f t="shared" ca="1" si="2"/>
        <v/>
      </c>
      <c r="J9" s="22" t="str">
        <f t="shared" si="0"/>
        <v/>
      </c>
      <c r="K9" s="16" t="str">
        <f t="shared" si="3"/>
        <v/>
      </c>
      <c r="L9" s="16"/>
    </row>
    <row r="10" spans="1:14" ht="14.5" x14ac:dyDescent="0.35">
      <c r="A10" s="16"/>
      <c r="B10" s="16"/>
      <c r="C10" s="16"/>
      <c r="D10" s="16"/>
      <c r="E10" s="22" t="str">
        <f ca="1">IFERROR(__xludf.dummyfunction("iferror(1000+INT(($N$2-(index(split(D10,"":""),1)*60+index(split(D10,"":""),2 )))/0.2+1)*$N$3,"""")"),"")</f>
        <v/>
      </c>
      <c r="F10" s="16" t="str">
        <f t="shared" ca="1" si="1"/>
        <v/>
      </c>
      <c r="G10" s="16"/>
      <c r="H10" s="22" t="str">
        <f ca="1">IFERROR(__xludf.dummyfunction("iferror(1000+INT(($N$4-(index(split(G10,"":""),1)*60+index(split(G10,"":""),2 )))/0.2+1)*$N$5,"""")"),"")</f>
        <v/>
      </c>
      <c r="I10" s="16" t="str">
        <f t="shared" ca="1" si="2"/>
        <v/>
      </c>
      <c r="J10" s="22" t="str">
        <f t="shared" si="0"/>
        <v/>
      </c>
      <c r="K10" s="16" t="str">
        <f t="shared" si="3"/>
        <v/>
      </c>
      <c r="L10" s="16"/>
    </row>
    <row r="11" spans="1:14" ht="14.5" x14ac:dyDescent="0.35">
      <c r="A11" s="16"/>
      <c r="B11" s="16"/>
      <c r="C11" s="16"/>
      <c r="D11" s="16"/>
      <c r="E11" s="22" t="str">
        <f ca="1">IFERROR(__xludf.dummyfunction("iferror(1000+INT(($N$2-(index(split(D11,"":""),1)*60+index(split(D11,"":""),2 )))/0.2+1)*$N$3,"""")"),"")</f>
        <v/>
      </c>
      <c r="F11" s="16" t="str">
        <f t="shared" ca="1" si="1"/>
        <v/>
      </c>
      <c r="G11" s="16"/>
      <c r="H11" s="22" t="str">
        <f ca="1">IFERROR(__xludf.dummyfunction("iferror(1000+INT(($N$4-(index(split(G11,"":""),1)*60+index(split(G11,"":""),2 )))/0.2+1)*$N$5,"""")"),"")</f>
        <v/>
      </c>
      <c r="I11" s="16" t="str">
        <f t="shared" ca="1" si="2"/>
        <v/>
      </c>
      <c r="J11" s="22" t="str">
        <f t="shared" si="0"/>
        <v/>
      </c>
      <c r="K11" s="16" t="str">
        <f t="shared" si="3"/>
        <v/>
      </c>
      <c r="L11" s="16"/>
    </row>
    <row r="12" spans="1:14" ht="14.5" x14ac:dyDescent="0.35">
      <c r="A12" s="16"/>
      <c r="B12" s="16"/>
      <c r="C12" s="16"/>
      <c r="D12" s="16"/>
      <c r="E12" s="22" t="str">
        <f ca="1">IFERROR(__xludf.dummyfunction("iferror(1000+INT(($N$2-(index(split(D12,"":""),1)*60+index(split(D12,"":""),2 )))/0.2+1)*$N$3,"""")"),"")</f>
        <v/>
      </c>
      <c r="F12" s="16" t="str">
        <f t="shared" ca="1" si="1"/>
        <v/>
      </c>
      <c r="G12" s="16"/>
      <c r="H12" s="22" t="str">
        <f ca="1">IFERROR(__xludf.dummyfunction("iferror(1000+INT(($N$4-(index(split(G12,"":""),1)*60+index(split(G12,"":""),2 )))/0.2+1)*$N$5,"""")"),"")</f>
        <v/>
      </c>
      <c r="I12" s="16" t="str">
        <f t="shared" ca="1" si="2"/>
        <v/>
      </c>
      <c r="J12" s="22" t="str">
        <f t="shared" si="0"/>
        <v/>
      </c>
      <c r="K12" s="16" t="str">
        <f t="shared" si="3"/>
        <v/>
      </c>
      <c r="L12" s="16"/>
    </row>
    <row r="13" spans="1:14" ht="14.5" x14ac:dyDescent="0.35">
      <c r="A13" s="16"/>
      <c r="B13" s="16"/>
      <c r="C13" s="16"/>
      <c r="D13" s="16"/>
      <c r="E13" s="22" t="str">
        <f ca="1">IFERROR(__xludf.dummyfunction("iferror(1000+INT(($N$2-(index(split(D13,"":""),1)*60+index(split(D13,"":""),2 )))/0.2+1)*$N$3,"""")"),"")</f>
        <v/>
      </c>
      <c r="F13" s="16" t="str">
        <f t="shared" ca="1" si="1"/>
        <v/>
      </c>
      <c r="G13" s="16"/>
      <c r="H13" s="22" t="str">
        <f ca="1">IFERROR(__xludf.dummyfunction("iferror(1000+INT(($N$4-(index(split(G13,"":""),1)*60+index(split(G13,"":""),2 )))/0.2+1)*$N$5,"""")"),"")</f>
        <v/>
      </c>
      <c r="I13" s="16" t="str">
        <f t="shared" ca="1" si="2"/>
        <v/>
      </c>
      <c r="J13" s="22" t="str">
        <f t="shared" si="0"/>
        <v/>
      </c>
      <c r="K13" s="16" t="str">
        <f t="shared" si="3"/>
        <v/>
      </c>
      <c r="L13" s="16"/>
    </row>
    <row r="14" spans="1:14" ht="14.5" x14ac:dyDescent="0.35">
      <c r="A14" s="16"/>
      <c r="B14" s="16"/>
      <c r="C14" s="16"/>
      <c r="D14" s="16"/>
      <c r="E14" s="22" t="str">
        <f ca="1">IFERROR(__xludf.dummyfunction("iferror(1000+INT(($N$2-(index(split(D14,"":""),1)*60+index(split(D14,"":""),2 )))/0.2+1)*$N$3,"""")"),"")</f>
        <v/>
      </c>
      <c r="F14" s="16" t="str">
        <f t="shared" ca="1" si="1"/>
        <v/>
      </c>
      <c r="G14" s="16"/>
      <c r="H14" s="22" t="str">
        <f ca="1">IFERROR(__xludf.dummyfunction("iferror(1000+INT(($N$4-(index(split(G14,"":""),1)*60+index(split(G14,"":""),2 )))/0.2+1)*$N$5,"""")"),"")</f>
        <v/>
      </c>
      <c r="I14" s="16" t="str">
        <f t="shared" ca="1" si="2"/>
        <v/>
      </c>
      <c r="J14" s="22" t="str">
        <f t="shared" si="0"/>
        <v/>
      </c>
      <c r="K14" s="16" t="str">
        <f t="shared" si="3"/>
        <v/>
      </c>
      <c r="L14" s="16"/>
    </row>
    <row r="15" spans="1:14" ht="14.5" x14ac:dyDescent="0.35">
      <c r="A15" s="16"/>
      <c r="B15" s="16"/>
      <c r="C15" s="16"/>
      <c r="D15" s="16"/>
      <c r="E15" s="22" t="str">
        <f ca="1">IFERROR(__xludf.dummyfunction("iferror(1000+INT(($N$2-(index(split(D15,"":""),1)*60+index(split(D15,"":""),2 )))/0.2+1)*$N$3,"""")"),"")</f>
        <v/>
      </c>
      <c r="F15" s="16" t="str">
        <f t="shared" ca="1" si="1"/>
        <v/>
      </c>
      <c r="G15" s="16"/>
      <c r="H15" s="22" t="str">
        <f ca="1">IFERROR(__xludf.dummyfunction("iferror(1000+INT(($N$4-(index(split(G15,"":""),1)*60+index(split(G15,"":""),2 )))/0.2+1)*$N$5,"""")"),"")</f>
        <v/>
      </c>
      <c r="I15" s="16" t="str">
        <f t="shared" ca="1" si="2"/>
        <v/>
      </c>
      <c r="J15" s="22" t="str">
        <f t="shared" si="0"/>
        <v/>
      </c>
      <c r="K15" s="16" t="str">
        <f t="shared" si="3"/>
        <v/>
      </c>
      <c r="L15" s="16"/>
    </row>
    <row r="16" spans="1:14" ht="14.5" x14ac:dyDescent="0.35">
      <c r="A16" s="16"/>
      <c r="B16" s="16"/>
      <c r="C16" s="16"/>
      <c r="D16" s="16"/>
      <c r="E16" s="22" t="str">
        <f ca="1">IFERROR(__xludf.dummyfunction("iferror(1000+INT(($N$2-(index(split(D16,"":""),1)*60+index(split(D16,"":""),2 )))/0.2+1)*$N$3,"""")"),"")</f>
        <v/>
      </c>
      <c r="F16" s="16" t="str">
        <f t="shared" ca="1" si="1"/>
        <v/>
      </c>
      <c r="G16" s="16"/>
      <c r="H16" s="22" t="str">
        <f ca="1">IFERROR(__xludf.dummyfunction("iferror(1000+INT(($N$4-(index(split(G16,"":""),1)*60+index(split(G16,"":""),2 )))/0.2+1)*$N$5,"""")"),"")</f>
        <v/>
      </c>
      <c r="I16" s="16" t="str">
        <f t="shared" ca="1" si="2"/>
        <v/>
      </c>
      <c r="J16" s="22" t="str">
        <f t="shared" si="0"/>
        <v/>
      </c>
      <c r="K16" s="16" t="str">
        <f t="shared" si="3"/>
        <v/>
      </c>
      <c r="L16" s="16"/>
    </row>
    <row r="17" spans="1:12" ht="14.5" x14ac:dyDescent="0.35">
      <c r="A17" s="16"/>
      <c r="B17" s="16"/>
      <c r="C17" s="16"/>
      <c r="D17" s="16"/>
      <c r="E17" s="22" t="str">
        <f ca="1">IFERROR(__xludf.dummyfunction("iferror(1000+INT(($N$2-(index(split(D17,"":""),1)*60+index(split(D17,"":""),2 )))/0.2+1)*$N$3,"""")"),"")</f>
        <v/>
      </c>
      <c r="F17" s="16" t="str">
        <f t="shared" ca="1" si="1"/>
        <v/>
      </c>
      <c r="G17" s="16"/>
      <c r="H17" s="22" t="str">
        <f ca="1">IFERROR(__xludf.dummyfunction("iferror(1000+INT(($N$4-(index(split(G17,"":""),1)*60+index(split(G17,"":""),2 )))/0.2+1)*$N$5,"""")"),"")</f>
        <v/>
      </c>
      <c r="I17" s="16" t="str">
        <f t="shared" ca="1" si="2"/>
        <v/>
      </c>
      <c r="J17" s="22" t="str">
        <f t="shared" si="0"/>
        <v/>
      </c>
      <c r="K17" s="16" t="str">
        <f t="shared" si="3"/>
        <v/>
      </c>
      <c r="L17" s="16"/>
    </row>
    <row r="18" spans="1:12" ht="14.5" x14ac:dyDescent="0.35">
      <c r="A18" s="16"/>
      <c r="B18" s="16"/>
      <c r="C18" s="16"/>
      <c r="D18" s="16"/>
      <c r="E18" s="22" t="str">
        <f ca="1">IFERROR(__xludf.dummyfunction("iferror(1000+INT(($N$2-(index(split(D18,"":""),1)*60+index(split(D18,"":""),2 )))/0.2+1)*$N$3,"""")"),"")</f>
        <v/>
      </c>
      <c r="F18" s="16" t="str">
        <f t="shared" ca="1" si="1"/>
        <v/>
      </c>
      <c r="G18" s="16"/>
      <c r="H18" s="22" t="str">
        <f ca="1">IFERROR(__xludf.dummyfunction("iferror(1000+INT(($N$4-(index(split(G18,"":""),1)*60+index(split(G18,"":""),2 )))/0.2+1)*$N$5,"""")"),"")</f>
        <v/>
      </c>
      <c r="I18" s="16" t="str">
        <f t="shared" ca="1" si="2"/>
        <v/>
      </c>
      <c r="J18" s="22" t="str">
        <f t="shared" si="0"/>
        <v/>
      </c>
      <c r="K18" s="16" t="str">
        <f t="shared" si="3"/>
        <v/>
      </c>
      <c r="L18" s="16"/>
    </row>
    <row r="19" spans="1:12" ht="14.5" x14ac:dyDescent="0.35">
      <c r="A19" s="16"/>
      <c r="B19" s="16"/>
      <c r="C19" s="16"/>
      <c r="D19" s="16"/>
      <c r="E19" s="22" t="str">
        <f ca="1">IFERROR(__xludf.dummyfunction("iferror(1000+INT(($N$2-(index(split(D19,"":""),1)*60+index(split(D19,"":""),2 )))/0.2+1)*$N$3,"""")"),"")</f>
        <v/>
      </c>
      <c r="F19" s="16" t="str">
        <f t="shared" ca="1" si="1"/>
        <v/>
      </c>
      <c r="G19" s="16"/>
      <c r="H19" s="22" t="str">
        <f ca="1">IFERROR(__xludf.dummyfunction("iferror(1000+INT(($N$4-(index(split(G19,"":""),1)*60+index(split(G19,"":""),2 )))/0.2+1)*$N$5,"""")"),"")</f>
        <v/>
      </c>
      <c r="I19" s="16" t="str">
        <f t="shared" ca="1" si="2"/>
        <v/>
      </c>
      <c r="J19" s="22" t="str">
        <f t="shared" si="0"/>
        <v/>
      </c>
      <c r="K19" s="16" t="str">
        <f t="shared" si="3"/>
        <v/>
      </c>
      <c r="L19" s="16"/>
    </row>
    <row r="20" spans="1:12" ht="14.5" x14ac:dyDescent="0.35">
      <c r="A20" s="16"/>
      <c r="B20" s="16"/>
      <c r="C20" s="16"/>
      <c r="D20" s="16"/>
      <c r="E20" s="22" t="str">
        <f ca="1">IFERROR(__xludf.dummyfunction("iferror(1000+INT(($N$2-(index(split(D20,"":""),1)*60+index(split(D20,"":""),2 )))/0.2+1)*$N$3,"""")"),"")</f>
        <v/>
      </c>
      <c r="F20" s="16" t="str">
        <f t="shared" ca="1" si="1"/>
        <v/>
      </c>
      <c r="G20" s="16"/>
      <c r="H20" s="22" t="str">
        <f ca="1">IFERROR(__xludf.dummyfunction("iferror(1000+INT(($N$4-(index(split(G20,"":""),1)*60+index(split(G20,"":""),2 )))/0.2+1)*$N$5,"""")"),"")</f>
        <v/>
      </c>
      <c r="I20" s="16" t="str">
        <f t="shared" ca="1" si="2"/>
        <v/>
      </c>
      <c r="J20" s="22" t="str">
        <f t="shared" si="0"/>
        <v/>
      </c>
      <c r="K20" s="16" t="str">
        <f t="shared" si="3"/>
        <v/>
      </c>
      <c r="L20" s="16"/>
    </row>
    <row r="21" spans="1:12" ht="14.5" x14ac:dyDescent="0.35">
      <c r="A21" s="16"/>
      <c r="B21" s="16"/>
      <c r="C21" s="16"/>
      <c r="D21" s="16"/>
      <c r="E21" s="22" t="str">
        <f ca="1">IFERROR(__xludf.dummyfunction("iferror(1000+INT(($N$2-(index(split(D21,"":""),1)*60+index(split(D21,"":""),2 )))/0.2+1)*$N$3,"""")"),"")</f>
        <v/>
      </c>
      <c r="F21" s="16" t="str">
        <f t="shared" ca="1" si="1"/>
        <v/>
      </c>
      <c r="G21" s="16"/>
      <c r="H21" s="22" t="str">
        <f ca="1">IFERROR(__xludf.dummyfunction("iferror(1000+INT(($N$4-(index(split(G21,"":""),1)*60+index(split(G21,"":""),2 )))/0.2+1)*$N$5,"""")"),"")</f>
        <v/>
      </c>
      <c r="I21" s="16" t="str">
        <f t="shared" ca="1" si="2"/>
        <v/>
      </c>
      <c r="J21" s="22" t="str">
        <f t="shared" si="0"/>
        <v/>
      </c>
      <c r="K21" s="16" t="str">
        <f t="shared" si="3"/>
        <v/>
      </c>
      <c r="L21" s="16"/>
    </row>
    <row r="22" spans="1:12" ht="14.5" x14ac:dyDescent="0.35">
      <c r="A22" s="16"/>
      <c r="B22" s="16"/>
      <c r="C22" s="16"/>
      <c r="D22" s="16"/>
      <c r="E22" s="22" t="str">
        <f ca="1">IFERROR(__xludf.dummyfunction("iferror(1000+INT(($N$2-(index(split(D22,"":""),1)*60+index(split(D22,"":""),2 )))/0.2+1)*$N$3,"""")"),"")</f>
        <v/>
      </c>
      <c r="F22" s="16" t="str">
        <f t="shared" ca="1" si="1"/>
        <v/>
      </c>
      <c r="G22" s="16"/>
      <c r="H22" s="22" t="str">
        <f ca="1">IFERROR(__xludf.dummyfunction("iferror(1000+INT(($N$4-(index(split(G22,"":""),1)*60+index(split(G22,"":""),2 )))/0.2+1)*$N$5,"""")"),"")</f>
        <v/>
      </c>
      <c r="I22" s="16" t="str">
        <f t="shared" ca="1" si="2"/>
        <v/>
      </c>
      <c r="J22" s="22" t="str">
        <f t="shared" si="0"/>
        <v/>
      </c>
      <c r="K22" s="16" t="str">
        <f t="shared" si="3"/>
        <v/>
      </c>
      <c r="L22" s="16"/>
    </row>
    <row r="23" spans="1:12" ht="14.5" x14ac:dyDescent="0.35">
      <c r="A23" s="16"/>
      <c r="B23" s="16"/>
      <c r="C23" s="16"/>
      <c r="D23" s="16"/>
      <c r="E23" s="22" t="str">
        <f ca="1">IFERROR(__xludf.dummyfunction("iferror(1000+INT(($N$2-(index(split(D23,"":""),1)*60+index(split(D23,"":""),2 )))/0.2+1)*$N$3,"""")"),"")</f>
        <v/>
      </c>
      <c r="F23" s="16" t="str">
        <f t="shared" ca="1" si="1"/>
        <v/>
      </c>
      <c r="G23" s="16"/>
      <c r="H23" s="22" t="str">
        <f ca="1">IFERROR(__xludf.dummyfunction("iferror(1000+INT(($N$4-(index(split(G23,"":""),1)*60+index(split(G23,"":""),2 )))/0.2+1)*$N$5,"""")"),"")</f>
        <v/>
      </c>
      <c r="I23" s="16" t="str">
        <f t="shared" ca="1" si="2"/>
        <v/>
      </c>
      <c r="J23" s="22" t="str">
        <f t="shared" si="0"/>
        <v/>
      </c>
      <c r="K23" s="16" t="str">
        <f t="shared" si="3"/>
        <v/>
      </c>
      <c r="L23" s="16"/>
    </row>
    <row r="24" spans="1:12" ht="14.5" x14ac:dyDescent="0.35">
      <c r="A24" s="16"/>
      <c r="B24" s="16"/>
      <c r="C24" s="16"/>
      <c r="D24" s="16"/>
      <c r="E24" s="22" t="str">
        <f ca="1">IFERROR(__xludf.dummyfunction("iferror(1000+INT(($N$2-(index(split(D24,"":""),1)*60+index(split(D24,"":""),2 )))/0.2+1)*$N$3,"""")"),"")</f>
        <v/>
      </c>
      <c r="F24" s="16" t="str">
        <f t="shared" ca="1" si="1"/>
        <v/>
      </c>
      <c r="G24" s="16"/>
      <c r="H24" s="22" t="str">
        <f ca="1">IFERROR(__xludf.dummyfunction("iferror(1000+INT(($N$4-(index(split(G24,"":""),1)*60+index(split(G24,"":""),2 )))/0.2+1)*$N$5,"""")"),"")</f>
        <v/>
      </c>
      <c r="I24" s="16" t="str">
        <f t="shared" ca="1" si="2"/>
        <v/>
      </c>
      <c r="J24" s="22" t="str">
        <f t="shared" si="0"/>
        <v/>
      </c>
      <c r="K24" s="16" t="str">
        <f t="shared" si="3"/>
        <v/>
      </c>
      <c r="L24" s="16"/>
    </row>
    <row r="25" spans="1:12" ht="14.5" x14ac:dyDescent="0.35">
      <c r="A25" s="16"/>
      <c r="B25" s="16"/>
      <c r="C25" s="16"/>
      <c r="D25" s="16"/>
      <c r="E25" s="22" t="str">
        <f ca="1">IFERROR(__xludf.dummyfunction("iferror(1000+INT(($N$2-(index(split(D25,"":""),1)*60+index(split(D25,"":""),2 )))/0.2+1)*$N$3,"""")"),"")</f>
        <v/>
      </c>
      <c r="F25" s="16" t="str">
        <f t="shared" ca="1" si="1"/>
        <v/>
      </c>
      <c r="G25" s="16"/>
      <c r="H25" s="22" t="str">
        <f ca="1">IFERROR(__xludf.dummyfunction("iferror(1000+INT(($N$4-(index(split(G25,"":""),1)*60+index(split(G25,"":""),2 )))/0.2+1)*$N$5,"""")"),"")</f>
        <v/>
      </c>
      <c r="I25" s="16" t="str">
        <f t="shared" ca="1" si="2"/>
        <v/>
      </c>
      <c r="J25" s="22" t="str">
        <f t="shared" si="0"/>
        <v/>
      </c>
      <c r="K25" s="16" t="str">
        <f t="shared" si="3"/>
        <v/>
      </c>
      <c r="L25" s="16"/>
    </row>
    <row r="26" spans="1:12" ht="14.5" x14ac:dyDescent="0.35">
      <c r="A26" s="16"/>
      <c r="B26" s="16"/>
      <c r="C26" s="16"/>
      <c r="D26" s="16"/>
      <c r="E26" s="22" t="str">
        <f ca="1">IFERROR(__xludf.dummyfunction("iferror(1000+INT(($N$2-(index(split(D26,"":""),1)*60+index(split(D26,"":""),2 )))/0.2+1)*$N$3,"""")"),"")</f>
        <v/>
      </c>
      <c r="F26" s="16" t="str">
        <f t="shared" ca="1" si="1"/>
        <v/>
      </c>
      <c r="G26" s="16"/>
      <c r="H26" s="22" t="str">
        <f ca="1">IFERROR(__xludf.dummyfunction("iferror(1000+INT(($N$4-(index(split(G26,"":""),1)*60+index(split(G26,"":""),2 )))/0.2+1)*$N$5,"""")"),"")</f>
        <v/>
      </c>
      <c r="I26" s="16" t="str">
        <f t="shared" ca="1" si="2"/>
        <v/>
      </c>
      <c r="J26" s="22" t="str">
        <f t="shared" si="0"/>
        <v/>
      </c>
      <c r="K26" s="16" t="str">
        <f t="shared" si="3"/>
        <v/>
      </c>
      <c r="L26" s="16"/>
    </row>
    <row r="27" spans="1:12" ht="14.5" x14ac:dyDescent="0.35">
      <c r="A27" s="16"/>
      <c r="B27" s="16"/>
      <c r="C27" s="16"/>
      <c r="D27" s="16"/>
      <c r="E27" s="22" t="str">
        <f ca="1">IFERROR(__xludf.dummyfunction("iferror(1000+INT(($N$2-(index(split(D27,"":""),1)*60+index(split(D27,"":""),2 )))/0.2+1)*$N$3,"""")"),"")</f>
        <v/>
      </c>
      <c r="F27" s="16" t="str">
        <f t="shared" ca="1" si="1"/>
        <v/>
      </c>
      <c r="G27" s="16"/>
      <c r="H27" s="22" t="str">
        <f ca="1">IFERROR(__xludf.dummyfunction("iferror(1000+INT(($N$4-(index(split(G27,"":""),1)*60+index(split(G27,"":""),2 )))/0.2+1)*$N$5,"""")"),"")</f>
        <v/>
      </c>
      <c r="I27" s="16" t="str">
        <f t="shared" ca="1" si="2"/>
        <v/>
      </c>
      <c r="J27" s="22" t="str">
        <f t="shared" si="0"/>
        <v/>
      </c>
      <c r="K27" s="16" t="str">
        <f t="shared" si="3"/>
        <v/>
      </c>
      <c r="L27" s="16"/>
    </row>
    <row r="28" spans="1:12" ht="14.5" x14ac:dyDescent="0.35">
      <c r="A28" s="16"/>
      <c r="B28" s="16"/>
      <c r="C28" s="16"/>
      <c r="D28" s="16"/>
      <c r="E28" s="22" t="str">
        <f ca="1">IFERROR(__xludf.dummyfunction("iferror(1000+INT(($N$2-(index(split(D28,"":""),1)*60+index(split(D28,"":""),2 )))/0.2+1)*$N$3,"""")"),"")</f>
        <v/>
      </c>
      <c r="F28" s="16" t="str">
        <f t="shared" ca="1" si="1"/>
        <v/>
      </c>
      <c r="G28" s="16"/>
      <c r="H28" s="22" t="str">
        <f ca="1">IFERROR(__xludf.dummyfunction("iferror(1000+INT(($N$4-(index(split(G28,"":""),1)*60+index(split(G28,"":""),2 )))/0.2+1)*$N$5,"""")"),"")</f>
        <v/>
      </c>
      <c r="I28" s="16" t="str">
        <f t="shared" ca="1" si="2"/>
        <v/>
      </c>
      <c r="J28" s="22" t="str">
        <f t="shared" si="0"/>
        <v/>
      </c>
      <c r="K28" s="16" t="str">
        <f t="shared" si="3"/>
        <v/>
      </c>
      <c r="L28" s="16"/>
    </row>
    <row r="29" spans="1:12" ht="14.5" x14ac:dyDescent="0.35">
      <c r="A29" s="16"/>
      <c r="B29" s="16"/>
      <c r="C29" s="16"/>
      <c r="D29" s="16"/>
      <c r="E29" s="22" t="str">
        <f ca="1">IFERROR(__xludf.dummyfunction("iferror(1000+INT(($N$2-(index(split(D29,"":""),1)*60+index(split(D29,"":""),2 )))/0.2+1)*$N$3,"""")"),"")</f>
        <v/>
      </c>
      <c r="F29" s="16" t="str">
        <f t="shared" ca="1" si="1"/>
        <v/>
      </c>
      <c r="G29" s="16"/>
      <c r="H29" s="22" t="str">
        <f ca="1">IFERROR(__xludf.dummyfunction("iferror(1000+INT(($N$4-(index(split(G29,"":""),1)*60+index(split(G29,"":""),2 )))/0.2+1)*$N$5,"""")"),"")</f>
        <v/>
      </c>
      <c r="I29" s="16" t="str">
        <f t="shared" ca="1" si="2"/>
        <v/>
      </c>
      <c r="J29" s="22" t="str">
        <f t="shared" si="0"/>
        <v/>
      </c>
      <c r="K29" s="16" t="str">
        <f t="shared" si="3"/>
        <v/>
      </c>
      <c r="L29" s="16"/>
    </row>
    <row r="30" spans="1:12" ht="14.5" x14ac:dyDescent="0.35">
      <c r="A30" s="16"/>
      <c r="B30" s="16"/>
      <c r="C30" s="16"/>
      <c r="D30" s="16"/>
      <c r="E30" s="22" t="str">
        <f ca="1">IFERROR(__xludf.dummyfunction("iferror(1000+INT(($N$2-(index(split(D30,"":""),1)*60+index(split(D30,"":""),2 )))/0.2+1)*$N$3,"""")"),"")</f>
        <v/>
      </c>
      <c r="F30" s="16" t="str">
        <f t="shared" ca="1" si="1"/>
        <v/>
      </c>
      <c r="G30" s="16"/>
      <c r="H30" s="22" t="str">
        <f ca="1">IFERROR(__xludf.dummyfunction("iferror(1000+INT(($N$4-(index(split(G30,"":""),1)*60+index(split(G30,"":""),2 )))/0.2+1)*$N$5,"""")"),"")</f>
        <v/>
      </c>
      <c r="I30" s="16" t="str">
        <f t="shared" ca="1" si="2"/>
        <v/>
      </c>
      <c r="J30" s="22" t="str">
        <f t="shared" si="0"/>
        <v/>
      </c>
      <c r="K30" s="16" t="str">
        <f t="shared" si="3"/>
        <v/>
      </c>
      <c r="L30" s="16"/>
    </row>
    <row r="31" spans="1:12" ht="14.5" x14ac:dyDescent="0.35">
      <c r="A31" s="16"/>
      <c r="B31" s="16"/>
      <c r="C31" s="16"/>
      <c r="D31" s="16"/>
      <c r="E31" s="22" t="str">
        <f ca="1">IFERROR(__xludf.dummyfunction("iferror(1000+INT(($N$2-(index(split(D31,"":""),1)*60+index(split(D31,"":""),2 )))/0.2+1)*$N$3,"""")"),"")</f>
        <v/>
      </c>
      <c r="F31" s="16" t="str">
        <f t="shared" ca="1" si="1"/>
        <v/>
      </c>
      <c r="G31" s="16"/>
      <c r="H31" s="22" t="str">
        <f ca="1">IFERROR(__xludf.dummyfunction("iferror(1000+INT(($N$4-(index(split(G31,"":""),1)*60+index(split(G31,"":""),2 )))/0.2+1)*$N$5,"""")"),"")</f>
        <v/>
      </c>
      <c r="I31" s="16" t="str">
        <f t="shared" ca="1" si="2"/>
        <v/>
      </c>
      <c r="J31" s="16" t="str">
        <f t="shared" ref="J2:J33" si="4">IF(AND(D31="", G31=""), "", E31+H31)</f>
        <v/>
      </c>
      <c r="K31" s="16" t="str">
        <f t="shared" si="3"/>
        <v/>
      </c>
      <c r="L31" s="16"/>
    </row>
    <row r="32" spans="1:12" ht="14.5" x14ac:dyDescent="0.35">
      <c r="A32" s="16"/>
      <c r="B32" s="16"/>
      <c r="C32" s="16"/>
      <c r="D32" s="16"/>
      <c r="E32" s="22" t="str">
        <f ca="1">IFERROR(__xludf.dummyfunction("iferror(1000+INT(($N$2-(index(split(D32,"":""),1)*60+index(split(D32,"":""),2 )))/0.2+1)*$N$3,"""")"),"")</f>
        <v/>
      </c>
      <c r="F32" s="16" t="str">
        <f t="shared" ca="1" si="1"/>
        <v/>
      </c>
      <c r="G32" s="16"/>
      <c r="H32" s="22" t="str">
        <f ca="1">IFERROR(__xludf.dummyfunction("iferror(1000+INT(($N$4-(index(split(G32,"":""),1)*60+index(split(G32,"":""),2 )))/0.2+1)*$N$5,"""")"),"")</f>
        <v/>
      </c>
      <c r="I32" s="16" t="str">
        <f t="shared" ca="1" si="2"/>
        <v/>
      </c>
      <c r="J32" s="16" t="str">
        <f t="shared" si="4"/>
        <v/>
      </c>
      <c r="K32" s="16" t="str">
        <f t="shared" si="3"/>
        <v/>
      </c>
      <c r="L32" s="16"/>
    </row>
    <row r="33" spans="1:12" ht="14.5" x14ac:dyDescent="0.35">
      <c r="A33" s="16"/>
      <c r="B33" s="16"/>
      <c r="C33" s="16"/>
      <c r="D33" s="16"/>
      <c r="E33" s="22" t="str">
        <f ca="1">IFERROR(__xludf.dummyfunction("iferror(1000+INT(($N$2-(index(split(D33,"":""),1)*60+index(split(D33,"":""),2 )))/0.2+1)*$N$3,"""")"),"")</f>
        <v/>
      </c>
      <c r="F33" s="16" t="str">
        <f t="shared" ca="1" si="1"/>
        <v/>
      </c>
      <c r="G33" s="16"/>
      <c r="H33" s="22" t="str">
        <f ca="1">IFERROR(__xludf.dummyfunction("iferror(1000+INT(($N$4-(index(split(G33,"":""),1)*60+index(split(G33,"":""),2 )))/0.2+1)*$N$5,"""")"),"")</f>
        <v/>
      </c>
      <c r="I33" s="16" t="str">
        <f t="shared" ca="1" si="2"/>
        <v/>
      </c>
      <c r="J33" s="16" t="str">
        <f t="shared" si="4"/>
        <v/>
      </c>
      <c r="K33" s="16" t="str">
        <f t="shared" si="3"/>
        <v/>
      </c>
      <c r="L33" s="16"/>
    </row>
    <row r="34" spans="1:12" ht="14.5" x14ac:dyDescent="0.35">
      <c r="A34" s="16"/>
      <c r="B34" s="16"/>
      <c r="C34" s="16"/>
      <c r="D34" s="16"/>
      <c r="E34" s="22" t="str">
        <f ca="1">IFERROR(__xludf.dummyfunction("iferror(1000+INT(($N$2-(index(split(D34,"":""),1)*60+index(split(D34,"":""),2 )))/0.2+1)*$N$3,"""")"),"")</f>
        <v/>
      </c>
      <c r="F34" s="16" t="str">
        <f t="shared" ref="F34:F65" ca="1" si="5">IFERROR(_xlfn.RANK.EQ(E34,E:E),"")</f>
        <v/>
      </c>
      <c r="G34" s="16"/>
      <c r="H34" s="22" t="str">
        <f ca="1">IFERROR(__xludf.dummyfunction("iferror(1000+INT(($N$4-(index(split(G34,"":""),1)*60+index(split(G34,"":""),2 )))/0.2+1)*$N$5,"""")"),"")</f>
        <v/>
      </c>
      <c r="I34" s="16" t="str">
        <f t="shared" ref="I34:I65" ca="1" si="6">IFERROR(_xlfn.RANK.EQ(H34,H:H),"")</f>
        <v/>
      </c>
      <c r="J34" s="16" t="str">
        <f t="shared" ref="J34:J65" si="7">IF(AND(D34="", G34=""), "", E34+H34)</f>
        <v/>
      </c>
      <c r="K34" s="16" t="str">
        <f t="shared" ref="K34:K65" si="8">IFERROR(_xlfn.RANK.EQ(J34,J:J),"")</f>
        <v/>
      </c>
      <c r="L34" s="16"/>
    </row>
    <row r="35" spans="1:12" ht="14.5" x14ac:dyDescent="0.35">
      <c r="A35" s="16"/>
      <c r="B35" s="16"/>
      <c r="C35" s="16"/>
      <c r="D35" s="16"/>
      <c r="E35" s="22" t="str">
        <f ca="1">IFERROR(__xludf.dummyfunction("iferror(1000+INT(($N$2-(index(split(D35,"":""),1)*60+index(split(D35,"":""),2 )))/0.2+1)*$N$3,"""")"),"")</f>
        <v/>
      </c>
      <c r="F35" s="16" t="str">
        <f t="shared" ca="1" si="5"/>
        <v/>
      </c>
      <c r="G35" s="16"/>
      <c r="H35" s="22" t="str">
        <f ca="1">IFERROR(__xludf.dummyfunction("iferror(1000+INT(($N$4-(index(split(G35,"":""),1)*60+index(split(G35,"":""),2 )))/0.2+1)*$N$5,"""")"),"")</f>
        <v/>
      </c>
      <c r="I35" s="16" t="str">
        <f t="shared" ca="1" si="6"/>
        <v/>
      </c>
      <c r="J35" s="16" t="str">
        <f t="shared" si="7"/>
        <v/>
      </c>
      <c r="K35" s="16" t="str">
        <f t="shared" si="8"/>
        <v/>
      </c>
      <c r="L35" s="16"/>
    </row>
    <row r="36" spans="1:12" ht="14.5" x14ac:dyDescent="0.35">
      <c r="A36" s="16"/>
      <c r="B36" s="16"/>
      <c r="C36" s="16"/>
      <c r="D36" s="16"/>
      <c r="E36" s="22" t="str">
        <f ca="1">IFERROR(__xludf.dummyfunction("iferror(1000+INT(($N$2-(index(split(D36,"":""),1)*60+index(split(D36,"":""),2 )))/0.2+1)*$N$3,"""")"),"")</f>
        <v/>
      </c>
      <c r="F36" s="16" t="str">
        <f t="shared" ca="1" si="5"/>
        <v/>
      </c>
      <c r="G36" s="16"/>
      <c r="H36" s="22" t="str">
        <f ca="1">IFERROR(__xludf.dummyfunction("iferror(1000+INT(($N$4-(index(split(G36,"":""),1)*60+index(split(G36,"":""),2 )))/0.2+1)*$N$5,"""")"),"")</f>
        <v/>
      </c>
      <c r="I36" s="16" t="str">
        <f t="shared" ca="1" si="6"/>
        <v/>
      </c>
      <c r="J36" s="16" t="str">
        <f t="shared" si="7"/>
        <v/>
      </c>
      <c r="K36" s="16" t="str">
        <f t="shared" si="8"/>
        <v/>
      </c>
      <c r="L36" s="16"/>
    </row>
    <row r="37" spans="1:12" ht="14.5" x14ac:dyDescent="0.35">
      <c r="A37" s="16"/>
      <c r="B37" s="16"/>
      <c r="C37" s="16"/>
      <c r="D37" s="16"/>
      <c r="E37" s="22" t="str">
        <f ca="1">IFERROR(__xludf.dummyfunction("iferror(1000+INT(($N$2-(index(split(D37,"":""),1)*60+index(split(D37,"":""),2 )))/0.2+1)*$N$3,"""")"),"")</f>
        <v/>
      </c>
      <c r="F37" s="16" t="str">
        <f t="shared" ca="1" si="5"/>
        <v/>
      </c>
      <c r="G37" s="16"/>
      <c r="H37" s="22" t="str">
        <f ca="1">IFERROR(__xludf.dummyfunction("iferror(1000+INT(($N$4-(index(split(G37,"":""),1)*60+index(split(G37,"":""),2 )))/0.2+1)*$N$5,"""")"),"")</f>
        <v/>
      </c>
      <c r="I37" s="16" t="str">
        <f t="shared" ca="1" si="6"/>
        <v/>
      </c>
      <c r="J37" s="16" t="str">
        <f t="shared" si="7"/>
        <v/>
      </c>
      <c r="K37" s="16" t="str">
        <f t="shared" si="8"/>
        <v/>
      </c>
      <c r="L37" s="16"/>
    </row>
    <row r="38" spans="1:12" ht="14.5" x14ac:dyDescent="0.35">
      <c r="A38" s="16"/>
      <c r="B38" s="16"/>
      <c r="C38" s="16"/>
      <c r="D38" s="16"/>
      <c r="E38" s="22" t="str">
        <f ca="1">IFERROR(__xludf.dummyfunction("iferror(1000+INT(($N$2-(index(split(D38,"":""),1)*60+index(split(D38,"":""),2 )))/0.2+1)*$N$3,"""")"),"")</f>
        <v/>
      </c>
      <c r="F38" s="16" t="str">
        <f t="shared" ca="1" si="5"/>
        <v/>
      </c>
      <c r="G38" s="16"/>
      <c r="H38" s="22" t="str">
        <f ca="1">IFERROR(__xludf.dummyfunction("iferror(1000+INT(($N$4-(index(split(G38,"":""),1)*60+index(split(G38,"":""),2 )))/0.2+1)*$N$5,"""")"),"")</f>
        <v/>
      </c>
      <c r="I38" s="16" t="str">
        <f t="shared" ca="1" si="6"/>
        <v/>
      </c>
      <c r="J38" s="16" t="str">
        <f t="shared" si="7"/>
        <v/>
      </c>
      <c r="K38" s="16" t="str">
        <f t="shared" si="8"/>
        <v/>
      </c>
      <c r="L38" s="16"/>
    </row>
    <row r="39" spans="1:12" ht="14.5" x14ac:dyDescent="0.35">
      <c r="A39" s="16"/>
      <c r="B39" s="16"/>
      <c r="C39" s="16"/>
      <c r="D39" s="16"/>
      <c r="E39" s="22" t="str">
        <f ca="1">IFERROR(__xludf.dummyfunction("iferror(1000+INT(($N$2-(index(split(D39,"":""),1)*60+index(split(D39,"":""),2 )))/0.2+1)*$N$3,"""")"),"")</f>
        <v/>
      </c>
      <c r="F39" s="16" t="str">
        <f t="shared" ca="1" si="5"/>
        <v/>
      </c>
      <c r="G39" s="16"/>
      <c r="H39" s="22" t="str">
        <f ca="1">IFERROR(__xludf.dummyfunction("iferror(1000+INT(($N$4-(index(split(G39,"":""),1)*60+index(split(G39,"":""),2 )))/0.2+1)*$N$5,"""")"),"")</f>
        <v/>
      </c>
      <c r="I39" s="16" t="str">
        <f t="shared" ca="1" si="6"/>
        <v/>
      </c>
      <c r="J39" s="16" t="str">
        <f t="shared" si="7"/>
        <v/>
      </c>
      <c r="K39" s="16" t="str">
        <f t="shared" si="8"/>
        <v/>
      </c>
      <c r="L39" s="16"/>
    </row>
    <row r="40" spans="1:12" ht="14.5" x14ac:dyDescent="0.35">
      <c r="A40" s="16"/>
      <c r="B40" s="16"/>
      <c r="C40" s="16"/>
      <c r="D40" s="16"/>
      <c r="E40" s="22" t="str">
        <f ca="1">IFERROR(__xludf.dummyfunction("iferror(1000+INT(($N$2-(index(split(D40,"":""),1)*60+index(split(D40,"":""),2 )))/0.2+1)*$N$3,"""")"),"")</f>
        <v/>
      </c>
      <c r="F40" s="16" t="str">
        <f t="shared" ca="1" si="5"/>
        <v/>
      </c>
      <c r="G40" s="16"/>
      <c r="H40" s="22" t="str">
        <f ca="1">IFERROR(__xludf.dummyfunction("iferror(1000+INT(($N$4-(index(split(G40,"":""),1)*60+index(split(G40,"":""),2 )))/0.2+1)*$N$5,"""")"),"")</f>
        <v/>
      </c>
      <c r="I40" s="16" t="str">
        <f t="shared" ca="1" si="6"/>
        <v/>
      </c>
      <c r="J40" s="16" t="str">
        <f t="shared" si="7"/>
        <v/>
      </c>
      <c r="K40" s="16" t="str">
        <f t="shared" si="8"/>
        <v/>
      </c>
      <c r="L40" s="16"/>
    </row>
    <row r="41" spans="1:12" ht="14.5" x14ac:dyDescent="0.35">
      <c r="A41" s="16"/>
      <c r="B41" s="16"/>
      <c r="C41" s="16"/>
      <c r="D41" s="16"/>
      <c r="E41" s="22" t="str">
        <f ca="1">IFERROR(__xludf.dummyfunction("iferror(1000+INT(($N$2-(index(split(D41,"":""),1)*60+index(split(D41,"":""),2 )))/0.2+1)*$N$3,"""")"),"")</f>
        <v/>
      </c>
      <c r="F41" s="16" t="str">
        <f t="shared" ca="1" si="5"/>
        <v/>
      </c>
      <c r="G41" s="16"/>
      <c r="H41" s="22" t="str">
        <f ca="1">IFERROR(__xludf.dummyfunction("iferror(1000+INT(($N$4-(index(split(G41,"":""),1)*60+index(split(G41,"":""),2 )))/0.2+1)*$N$5,"""")"),"")</f>
        <v/>
      </c>
      <c r="I41" s="16" t="str">
        <f t="shared" ca="1" si="6"/>
        <v/>
      </c>
      <c r="J41" s="16" t="str">
        <f t="shared" si="7"/>
        <v/>
      </c>
      <c r="K41" s="16" t="str">
        <f t="shared" si="8"/>
        <v/>
      </c>
      <c r="L41" s="16"/>
    </row>
    <row r="42" spans="1:12" ht="14.5" x14ac:dyDescent="0.35">
      <c r="A42" s="16"/>
      <c r="B42" s="16"/>
      <c r="C42" s="16"/>
      <c r="D42" s="16"/>
      <c r="E42" s="22" t="str">
        <f ca="1">IFERROR(__xludf.dummyfunction("iferror(1000+INT(($N$2-(index(split(D42,"":""),1)*60+index(split(D42,"":""),2 )))/0.2+1)*$N$3,"""")"),"")</f>
        <v/>
      </c>
      <c r="F42" s="16" t="str">
        <f t="shared" ca="1" si="5"/>
        <v/>
      </c>
      <c r="G42" s="16"/>
      <c r="H42" s="22" t="str">
        <f ca="1">IFERROR(__xludf.dummyfunction("iferror(1000+INT(($N$4-(index(split(G42,"":""),1)*60+index(split(G42,"":""),2 )))/0.2+1)*$N$5,"""")"),"")</f>
        <v/>
      </c>
      <c r="I42" s="16" t="str">
        <f t="shared" ca="1" si="6"/>
        <v/>
      </c>
      <c r="J42" s="16" t="str">
        <f t="shared" si="7"/>
        <v/>
      </c>
      <c r="K42" s="16" t="str">
        <f t="shared" si="8"/>
        <v/>
      </c>
      <c r="L42" s="16"/>
    </row>
    <row r="43" spans="1:12" ht="14.5" x14ac:dyDescent="0.35">
      <c r="A43" s="16"/>
      <c r="B43" s="16"/>
      <c r="C43" s="16"/>
      <c r="D43" s="16"/>
      <c r="E43" s="22" t="str">
        <f ca="1">IFERROR(__xludf.dummyfunction("iferror(1000+INT(($N$2-(index(split(D43,"":""),1)*60+index(split(D43,"":""),2 )))/0.2+1)*$N$3,"""")"),"")</f>
        <v/>
      </c>
      <c r="F43" s="16" t="str">
        <f t="shared" ca="1" si="5"/>
        <v/>
      </c>
      <c r="G43" s="16"/>
      <c r="H43" s="22" t="str">
        <f ca="1">IFERROR(__xludf.dummyfunction("iferror(1000+INT(($N$4-(index(split(G43,"":""),1)*60+index(split(G43,"":""),2 )))/0.2+1)*$N$5,"""")"),"")</f>
        <v/>
      </c>
      <c r="I43" s="16" t="str">
        <f t="shared" ca="1" si="6"/>
        <v/>
      </c>
      <c r="J43" s="16" t="str">
        <f t="shared" si="7"/>
        <v/>
      </c>
      <c r="K43" s="16" t="str">
        <f t="shared" si="8"/>
        <v/>
      </c>
      <c r="L43" s="16"/>
    </row>
    <row r="44" spans="1:12" ht="14.5" x14ac:dyDescent="0.35">
      <c r="A44" s="16"/>
      <c r="B44" s="16"/>
      <c r="C44" s="16"/>
      <c r="D44" s="16"/>
      <c r="E44" s="22" t="str">
        <f ca="1">IFERROR(__xludf.dummyfunction("iferror(1000+INT(($N$2-(index(split(D44,"":""),1)*60+index(split(D44,"":""),2 )))/0.2+1)*$N$3,"""")"),"")</f>
        <v/>
      </c>
      <c r="F44" s="16" t="str">
        <f t="shared" ca="1" si="5"/>
        <v/>
      </c>
      <c r="G44" s="16"/>
      <c r="H44" s="22" t="str">
        <f ca="1">IFERROR(__xludf.dummyfunction("iferror(1000+INT(($N$4-(index(split(G44,"":""),1)*60+index(split(G44,"":""),2 )))/0.2+1)*$N$5,"""")"),"")</f>
        <v/>
      </c>
      <c r="I44" s="16" t="str">
        <f t="shared" ca="1" si="6"/>
        <v/>
      </c>
      <c r="J44" s="16" t="str">
        <f t="shared" si="7"/>
        <v/>
      </c>
      <c r="K44" s="16" t="str">
        <f t="shared" si="8"/>
        <v/>
      </c>
      <c r="L44" s="16"/>
    </row>
    <row r="45" spans="1:12" ht="14.5" x14ac:dyDescent="0.35">
      <c r="A45" s="16"/>
      <c r="B45" s="16"/>
      <c r="C45" s="16"/>
      <c r="D45" s="16"/>
      <c r="E45" s="22" t="str">
        <f ca="1">IFERROR(__xludf.dummyfunction("iferror(1000+INT(($N$2-(index(split(D45,"":""),1)*60+index(split(D45,"":""),2 )))/0.2+1)*$N$3,"""")"),"")</f>
        <v/>
      </c>
      <c r="F45" s="16" t="str">
        <f t="shared" ca="1" si="5"/>
        <v/>
      </c>
      <c r="G45" s="16"/>
      <c r="H45" s="22" t="str">
        <f ca="1">IFERROR(__xludf.dummyfunction("iferror(1000+INT(($N$4-(index(split(G45,"":""),1)*60+index(split(G45,"":""),2 )))/0.2+1)*$N$5,"""")"),"")</f>
        <v/>
      </c>
      <c r="I45" s="16" t="str">
        <f t="shared" ca="1" si="6"/>
        <v/>
      </c>
      <c r="J45" s="16" t="str">
        <f t="shared" si="7"/>
        <v/>
      </c>
      <c r="K45" s="16" t="str">
        <f t="shared" si="8"/>
        <v/>
      </c>
      <c r="L45" s="16"/>
    </row>
    <row r="46" spans="1:12" ht="14.5" x14ac:dyDescent="0.35">
      <c r="A46" s="16"/>
      <c r="B46" s="16"/>
      <c r="C46" s="16"/>
      <c r="D46" s="16"/>
      <c r="E46" s="22" t="str">
        <f ca="1">IFERROR(__xludf.dummyfunction("iferror(1000+INT(($N$2-(index(split(D46,"":""),1)*60+index(split(D46,"":""),2 )))/0.2+1)*$N$3,"""")"),"")</f>
        <v/>
      </c>
      <c r="F46" s="16" t="str">
        <f t="shared" ca="1" si="5"/>
        <v/>
      </c>
      <c r="G46" s="16"/>
      <c r="H46" s="22" t="str">
        <f ca="1">IFERROR(__xludf.dummyfunction("iferror(1000+INT(($N$4-(index(split(G46,"":""),1)*60+index(split(G46,"":""),2 )))/0.2+1)*$N$5,"""")"),"")</f>
        <v/>
      </c>
      <c r="I46" s="16" t="str">
        <f t="shared" ca="1" si="6"/>
        <v/>
      </c>
      <c r="J46" s="16" t="str">
        <f t="shared" si="7"/>
        <v/>
      </c>
      <c r="K46" s="16" t="str">
        <f t="shared" si="8"/>
        <v/>
      </c>
      <c r="L46" s="16"/>
    </row>
    <row r="47" spans="1:12" ht="14.5" x14ac:dyDescent="0.35">
      <c r="A47" s="16"/>
      <c r="B47" s="16"/>
      <c r="C47" s="16"/>
      <c r="D47" s="16"/>
      <c r="E47" s="22" t="str">
        <f ca="1">IFERROR(__xludf.dummyfunction("iferror(1000+INT(($N$2-(index(split(D47,"":""),1)*60+index(split(D47,"":""),2 )))/0.2+1)*$N$3,"""")"),"")</f>
        <v/>
      </c>
      <c r="F47" s="16" t="str">
        <f t="shared" ca="1" si="5"/>
        <v/>
      </c>
      <c r="G47" s="16"/>
      <c r="H47" s="22" t="str">
        <f ca="1">IFERROR(__xludf.dummyfunction("iferror(1000+INT(($N$4-(index(split(G47,"":""),1)*60+index(split(G47,"":""),2 )))/0.2+1)*$N$5,"""")"),"")</f>
        <v/>
      </c>
      <c r="I47" s="16" t="str">
        <f t="shared" ca="1" si="6"/>
        <v/>
      </c>
      <c r="J47" s="16" t="str">
        <f t="shared" si="7"/>
        <v/>
      </c>
      <c r="K47" s="16" t="str">
        <f t="shared" si="8"/>
        <v/>
      </c>
      <c r="L47" s="16"/>
    </row>
    <row r="48" spans="1:12" ht="14.5" x14ac:dyDescent="0.35">
      <c r="A48" s="16"/>
      <c r="B48" s="16"/>
      <c r="C48" s="16"/>
      <c r="D48" s="16"/>
      <c r="E48" s="22" t="str">
        <f ca="1">IFERROR(__xludf.dummyfunction("iferror(1000+INT(($N$2-(index(split(D48,"":""),1)*60+index(split(D48,"":""),2 )))/0.2+1)*$N$3,"""")"),"")</f>
        <v/>
      </c>
      <c r="F48" s="16" t="str">
        <f t="shared" ca="1" si="5"/>
        <v/>
      </c>
      <c r="G48" s="16"/>
      <c r="H48" s="22" t="str">
        <f ca="1">IFERROR(__xludf.dummyfunction("iferror(1000+INT(($N$4-(index(split(G48,"":""),1)*60+index(split(G48,"":""),2 )))/0.2+1)*$N$5,"""")"),"")</f>
        <v/>
      </c>
      <c r="I48" s="16" t="str">
        <f t="shared" ca="1" si="6"/>
        <v/>
      </c>
      <c r="J48" s="16" t="str">
        <f t="shared" si="7"/>
        <v/>
      </c>
      <c r="K48" s="16" t="str">
        <f t="shared" si="8"/>
        <v/>
      </c>
      <c r="L48" s="16"/>
    </row>
    <row r="49" spans="1:12" ht="14.5" x14ac:dyDescent="0.35">
      <c r="A49" s="16"/>
      <c r="B49" s="16"/>
      <c r="C49" s="16"/>
      <c r="D49" s="16"/>
      <c r="E49" s="22" t="str">
        <f ca="1">IFERROR(__xludf.dummyfunction("iferror(1000+INT(($N$2-(index(split(D49,"":""),1)*60+index(split(D49,"":""),2 )))/0.2+1)*$N$3,"""")"),"")</f>
        <v/>
      </c>
      <c r="F49" s="16" t="str">
        <f t="shared" ca="1" si="5"/>
        <v/>
      </c>
      <c r="G49" s="16"/>
      <c r="H49" s="22" t="str">
        <f ca="1">IFERROR(__xludf.dummyfunction("iferror(1000+INT(($N$4-(index(split(G49,"":""),1)*60+index(split(G49,"":""),2 )))/0.2+1)*$N$5,"""")"),"")</f>
        <v/>
      </c>
      <c r="I49" s="16" t="str">
        <f t="shared" ca="1" si="6"/>
        <v/>
      </c>
      <c r="J49" s="16" t="str">
        <f t="shared" si="7"/>
        <v/>
      </c>
      <c r="K49" s="16" t="str">
        <f t="shared" si="8"/>
        <v/>
      </c>
      <c r="L49" s="16"/>
    </row>
    <row r="50" spans="1:12" ht="14.5" x14ac:dyDescent="0.35">
      <c r="A50" s="16"/>
      <c r="B50" s="16"/>
      <c r="C50" s="16"/>
      <c r="D50" s="16"/>
      <c r="E50" s="22" t="str">
        <f ca="1">IFERROR(__xludf.dummyfunction("iferror(1000+INT(($N$2-(index(split(D50,"":""),1)*60+index(split(D50,"":""),2 )))/0.2+1)*$N$3,"""")"),"")</f>
        <v/>
      </c>
      <c r="F50" s="16" t="str">
        <f t="shared" ca="1" si="5"/>
        <v/>
      </c>
      <c r="G50" s="16"/>
      <c r="H50" s="22" t="str">
        <f ca="1">IFERROR(__xludf.dummyfunction("iferror(1000+INT(($N$4-(index(split(G50,"":""),1)*60+index(split(G50,"":""),2 )))/0.2+1)*$N$5,"""")"),"")</f>
        <v/>
      </c>
      <c r="I50" s="16" t="str">
        <f t="shared" ca="1" si="6"/>
        <v/>
      </c>
      <c r="J50" s="16" t="str">
        <f t="shared" si="7"/>
        <v/>
      </c>
      <c r="K50" s="16" t="str">
        <f t="shared" si="8"/>
        <v/>
      </c>
      <c r="L50" s="16"/>
    </row>
    <row r="51" spans="1:12" ht="14.5" x14ac:dyDescent="0.35">
      <c r="A51" s="16"/>
      <c r="B51" s="16"/>
      <c r="C51" s="16"/>
      <c r="D51" s="16"/>
      <c r="E51" s="22" t="str">
        <f ca="1">IFERROR(__xludf.dummyfunction("iferror(1000+INT(($N$2-(index(split(D51,"":""),1)*60+index(split(D51,"":""),2 )))/0.2+1)*$N$3,"""")"),"")</f>
        <v/>
      </c>
      <c r="F51" s="16" t="str">
        <f t="shared" ca="1" si="5"/>
        <v/>
      </c>
      <c r="G51" s="16"/>
      <c r="H51" s="22" t="str">
        <f ca="1">IFERROR(__xludf.dummyfunction("iferror(1000+INT(($N$4-(index(split(G51,"":""),1)*60+index(split(G51,"":""),2 )))/0.2+1)*$N$5,"""")"),"")</f>
        <v/>
      </c>
      <c r="I51" s="16" t="str">
        <f t="shared" ca="1" si="6"/>
        <v/>
      </c>
      <c r="J51" s="16" t="str">
        <f t="shared" si="7"/>
        <v/>
      </c>
      <c r="K51" s="16" t="str">
        <f t="shared" si="8"/>
        <v/>
      </c>
      <c r="L51" s="16"/>
    </row>
    <row r="52" spans="1:12" ht="14.5" x14ac:dyDescent="0.35">
      <c r="A52" s="16"/>
      <c r="B52" s="16"/>
      <c r="C52" s="16"/>
      <c r="D52" s="16"/>
      <c r="E52" s="22" t="str">
        <f ca="1">IFERROR(__xludf.dummyfunction("iferror(1000+INT(($N$2-(index(split(D52,"":""),1)*60+index(split(D52,"":""),2 )))/0.2+1)*$N$3,"""")"),"")</f>
        <v/>
      </c>
      <c r="F52" s="16" t="str">
        <f t="shared" ca="1" si="5"/>
        <v/>
      </c>
      <c r="G52" s="16"/>
      <c r="H52" s="22" t="str">
        <f ca="1">IFERROR(__xludf.dummyfunction("iferror(1000+INT(($N$4-(index(split(G52,"":""),1)*60+index(split(G52,"":""),2 )))/0.2+1)*$N$5,"""")"),"")</f>
        <v/>
      </c>
      <c r="I52" s="16" t="str">
        <f t="shared" ca="1" si="6"/>
        <v/>
      </c>
      <c r="J52" s="16" t="str">
        <f t="shared" si="7"/>
        <v/>
      </c>
      <c r="K52" s="16" t="str">
        <f t="shared" si="8"/>
        <v/>
      </c>
      <c r="L52" s="16"/>
    </row>
    <row r="53" spans="1:12" ht="14.5" x14ac:dyDescent="0.35">
      <c r="A53" s="16"/>
      <c r="B53" s="16"/>
      <c r="C53" s="16"/>
      <c r="D53" s="16"/>
      <c r="E53" s="22" t="str">
        <f ca="1">IFERROR(__xludf.dummyfunction("iferror(1000+INT(($N$2-(index(split(D53,"":""),1)*60+index(split(D53,"":""),2 )))/0.2+1)*$N$3,"""")"),"")</f>
        <v/>
      </c>
      <c r="F53" s="16" t="str">
        <f t="shared" ca="1" si="5"/>
        <v/>
      </c>
      <c r="G53" s="16"/>
      <c r="H53" s="22" t="str">
        <f ca="1">IFERROR(__xludf.dummyfunction("iferror(1000+INT(($N$4-(index(split(G53,"":""),1)*60+index(split(G53,"":""),2 )))/0.2+1)*$N$5,"""")"),"")</f>
        <v/>
      </c>
      <c r="I53" s="16" t="str">
        <f t="shared" ca="1" si="6"/>
        <v/>
      </c>
      <c r="J53" s="16" t="str">
        <f t="shared" si="7"/>
        <v/>
      </c>
      <c r="K53" s="16" t="str">
        <f t="shared" si="8"/>
        <v/>
      </c>
      <c r="L53" s="16"/>
    </row>
    <row r="54" spans="1:12" ht="14.5" x14ac:dyDescent="0.35">
      <c r="A54" s="16"/>
      <c r="B54" s="16"/>
      <c r="C54" s="16"/>
      <c r="D54" s="16"/>
      <c r="E54" s="22" t="str">
        <f ca="1">IFERROR(__xludf.dummyfunction("iferror(1000+INT(($N$2-(index(split(D54,"":""),1)*60+index(split(D54,"":""),2 )))/0.2+1)*$N$3,"""")"),"")</f>
        <v/>
      </c>
      <c r="F54" s="16" t="str">
        <f t="shared" ca="1" si="5"/>
        <v/>
      </c>
      <c r="G54" s="16"/>
      <c r="H54" s="22" t="str">
        <f ca="1">IFERROR(__xludf.dummyfunction("iferror(1000+INT(($N$4-(index(split(G54,"":""),1)*60+index(split(G54,"":""),2 )))/0.2+1)*$N$5,"""")"),"")</f>
        <v/>
      </c>
      <c r="I54" s="16" t="str">
        <f t="shared" ca="1" si="6"/>
        <v/>
      </c>
      <c r="J54" s="16" t="str">
        <f t="shared" si="7"/>
        <v/>
      </c>
      <c r="K54" s="16" t="str">
        <f t="shared" si="8"/>
        <v/>
      </c>
      <c r="L54" s="16"/>
    </row>
    <row r="55" spans="1:12" ht="14.5" x14ac:dyDescent="0.35">
      <c r="A55" s="16"/>
      <c r="B55" s="16"/>
      <c r="C55" s="16"/>
      <c r="D55" s="16"/>
      <c r="E55" s="22" t="str">
        <f ca="1">IFERROR(__xludf.dummyfunction("iferror(1000+INT(($N$2-(index(split(D55,"":""),1)*60+index(split(D55,"":""),2 )))/0.2+1)*$N$3,"""")"),"")</f>
        <v/>
      </c>
      <c r="F55" s="16" t="str">
        <f t="shared" ca="1" si="5"/>
        <v/>
      </c>
      <c r="G55" s="16"/>
      <c r="H55" s="22" t="str">
        <f ca="1">IFERROR(__xludf.dummyfunction("iferror(1000+INT(($N$4-(index(split(G55,"":""),1)*60+index(split(G55,"":""),2 )))/0.2+1)*$N$5,"""")"),"")</f>
        <v/>
      </c>
      <c r="I55" s="16" t="str">
        <f t="shared" ca="1" si="6"/>
        <v/>
      </c>
      <c r="J55" s="16" t="str">
        <f t="shared" si="7"/>
        <v/>
      </c>
      <c r="K55" s="16" t="str">
        <f t="shared" si="8"/>
        <v/>
      </c>
      <c r="L55" s="16"/>
    </row>
    <row r="56" spans="1:12" ht="14.5" x14ac:dyDescent="0.35">
      <c r="A56" s="16"/>
      <c r="B56" s="16"/>
      <c r="C56" s="16"/>
      <c r="D56" s="16"/>
      <c r="E56" s="22" t="str">
        <f ca="1">IFERROR(__xludf.dummyfunction("iferror(1000+INT(($N$2-(index(split(D56,"":""),1)*60+index(split(D56,"":""),2 )))/0.2+1)*$N$3,"""")"),"")</f>
        <v/>
      </c>
      <c r="F56" s="16" t="str">
        <f t="shared" ca="1" si="5"/>
        <v/>
      </c>
      <c r="G56" s="16"/>
      <c r="H56" s="22" t="str">
        <f ca="1">IFERROR(__xludf.dummyfunction("iferror(1000+INT(($N$4-(index(split(G56,"":""),1)*60+index(split(G56,"":""),2 )))/0.2+1)*$N$5,"""")"),"")</f>
        <v/>
      </c>
      <c r="I56" s="16" t="str">
        <f t="shared" ca="1" si="6"/>
        <v/>
      </c>
      <c r="J56" s="16" t="str">
        <f t="shared" si="7"/>
        <v/>
      </c>
      <c r="K56" s="16" t="str">
        <f t="shared" si="8"/>
        <v/>
      </c>
      <c r="L56" s="16"/>
    </row>
    <row r="57" spans="1:12" ht="14.5" x14ac:dyDescent="0.35">
      <c r="A57" s="16"/>
      <c r="B57" s="16"/>
      <c r="C57" s="16"/>
      <c r="D57" s="16"/>
      <c r="E57" s="22" t="str">
        <f ca="1">IFERROR(__xludf.dummyfunction("iferror(1000+INT(($N$2-(index(split(D57,"":""),1)*60+index(split(D57,"":""),2 )))/0.2+1)*$N$3,"""")"),"")</f>
        <v/>
      </c>
      <c r="F57" s="16" t="str">
        <f t="shared" ca="1" si="5"/>
        <v/>
      </c>
      <c r="G57" s="16"/>
      <c r="H57" s="22" t="str">
        <f ca="1">IFERROR(__xludf.dummyfunction("iferror(1000+INT(($N$4-(index(split(G57,"":""),1)*60+index(split(G57,"":""),2 )))/0.2+1)*$N$5,"""")"),"")</f>
        <v/>
      </c>
      <c r="I57" s="16" t="str">
        <f t="shared" ca="1" si="6"/>
        <v/>
      </c>
      <c r="J57" s="16" t="str">
        <f t="shared" si="7"/>
        <v/>
      </c>
      <c r="K57" s="16" t="str">
        <f t="shared" si="8"/>
        <v/>
      </c>
      <c r="L57" s="16"/>
    </row>
    <row r="58" spans="1:12" ht="14.5" x14ac:dyDescent="0.35">
      <c r="A58" s="16"/>
      <c r="B58" s="16"/>
      <c r="C58" s="16"/>
      <c r="D58" s="16"/>
      <c r="E58" s="22" t="str">
        <f ca="1">IFERROR(__xludf.dummyfunction("iferror(1000+INT(($N$2-(index(split(D58,"":""),1)*60+index(split(D58,"":""),2 )))/0.2+1)*$N$3,"""")"),"")</f>
        <v/>
      </c>
      <c r="F58" s="16" t="str">
        <f t="shared" ca="1" si="5"/>
        <v/>
      </c>
      <c r="G58" s="16"/>
      <c r="H58" s="22" t="str">
        <f ca="1">IFERROR(__xludf.dummyfunction("iferror(1000+INT(($N$4-(index(split(G58,"":""),1)*60+index(split(G58,"":""),2 )))/0.2+1)*$N$5,"""")"),"")</f>
        <v/>
      </c>
      <c r="I58" s="16" t="str">
        <f t="shared" ca="1" si="6"/>
        <v/>
      </c>
      <c r="J58" s="16" t="str">
        <f t="shared" si="7"/>
        <v/>
      </c>
      <c r="K58" s="16" t="str">
        <f t="shared" si="8"/>
        <v/>
      </c>
      <c r="L58" s="16"/>
    </row>
    <row r="59" spans="1:12" ht="14.5" x14ac:dyDescent="0.35">
      <c r="A59" s="16"/>
      <c r="B59" s="16"/>
      <c r="C59" s="16"/>
      <c r="D59" s="16"/>
      <c r="E59" s="22" t="str">
        <f ca="1">IFERROR(__xludf.dummyfunction("iferror(1000+INT(($N$2-(index(split(D59,"":""),1)*60+index(split(D59,"":""),2 )))/0.2+1)*$N$3,"""")"),"")</f>
        <v/>
      </c>
      <c r="F59" s="16" t="str">
        <f t="shared" ca="1" si="5"/>
        <v/>
      </c>
      <c r="G59" s="16"/>
      <c r="H59" s="22" t="str">
        <f ca="1">IFERROR(__xludf.dummyfunction("iferror(1000+INT(($N$4-(index(split(G59,"":""),1)*60+index(split(G59,"":""),2 )))/0.2+1)*$N$5,"""")"),"")</f>
        <v/>
      </c>
      <c r="I59" s="16" t="str">
        <f t="shared" ca="1" si="6"/>
        <v/>
      </c>
      <c r="J59" s="16" t="str">
        <f t="shared" si="7"/>
        <v/>
      </c>
      <c r="K59" s="16" t="str">
        <f t="shared" si="8"/>
        <v/>
      </c>
      <c r="L59" s="16"/>
    </row>
    <row r="60" spans="1:12" ht="14.5" x14ac:dyDescent="0.35">
      <c r="A60" s="16"/>
      <c r="B60" s="16"/>
      <c r="C60" s="16"/>
      <c r="D60" s="16"/>
      <c r="E60" s="22" t="str">
        <f ca="1">IFERROR(__xludf.dummyfunction("iferror(1000+INT(($N$2-(index(split(D60,"":""),1)*60+index(split(D60,"":""),2 )))/0.2+1)*$N$3,"""")"),"")</f>
        <v/>
      </c>
      <c r="F60" s="16" t="str">
        <f t="shared" ca="1" si="5"/>
        <v/>
      </c>
      <c r="G60" s="16"/>
      <c r="H60" s="22" t="str">
        <f ca="1">IFERROR(__xludf.dummyfunction("iferror(1000+INT(($N$4-(index(split(G60,"":""),1)*60+index(split(G60,"":""),2 )))/0.2+1)*$N$5,"""")"),"")</f>
        <v/>
      </c>
      <c r="I60" s="16" t="str">
        <f t="shared" ca="1" si="6"/>
        <v/>
      </c>
      <c r="J60" s="16" t="str">
        <f t="shared" si="7"/>
        <v/>
      </c>
      <c r="K60" s="16" t="str">
        <f t="shared" si="8"/>
        <v/>
      </c>
      <c r="L60" s="16"/>
    </row>
    <row r="61" spans="1:12" ht="14.5" x14ac:dyDescent="0.35">
      <c r="A61" s="16"/>
      <c r="B61" s="16"/>
      <c r="C61" s="16"/>
      <c r="D61" s="16"/>
      <c r="E61" s="22" t="str">
        <f ca="1">IFERROR(__xludf.dummyfunction("iferror(1000+INT(($N$2-(index(split(D61,"":""),1)*60+index(split(D61,"":""),2 )))/0.2+1)*$N$3,"""")"),"")</f>
        <v/>
      </c>
      <c r="F61" s="16" t="str">
        <f t="shared" ca="1" si="5"/>
        <v/>
      </c>
      <c r="G61" s="16"/>
      <c r="H61" s="22" t="str">
        <f ca="1">IFERROR(__xludf.dummyfunction("iferror(1000+INT(($N$4-(index(split(G61,"":""),1)*60+index(split(G61,"":""),2 )))/0.2+1)*$N$5,"""")"),"")</f>
        <v/>
      </c>
      <c r="I61" s="16" t="str">
        <f t="shared" ca="1" si="6"/>
        <v/>
      </c>
      <c r="J61" s="16" t="str">
        <f t="shared" si="7"/>
        <v/>
      </c>
      <c r="K61" s="16" t="str">
        <f t="shared" si="8"/>
        <v/>
      </c>
      <c r="L61" s="16"/>
    </row>
    <row r="62" spans="1:12" ht="14.5" x14ac:dyDescent="0.35">
      <c r="A62" s="16"/>
      <c r="B62" s="16"/>
      <c r="C62" s="16"/>
      <c r="D62" s="16"/>
      <c r="E62" s="22" t="str">
        <f ca="1">IFERROR(__xludf.dummyfunction("iferror(1000+INT(($N$2-(index(split(D62,"":""),1)*60+index(split(D62,"":""),2 )))/0.2+1)*$N$3,"""")"),"")</f>
        <v/>
      </c>
      <c r="F62" s="16" t="str">
        <f t="shared" ca="1" si="5"/>
        <v/>
      </c>
      <c r="G62" s="16"/>
      <c r="H62" s="22" t="str">
        <f ca="1">IFERROR(__xludf.dummyfunction("iferror(1000+INT(($N$4-(index(split(G62,"":""),1)*60+index(split(G62,"":""),2 )))/0.2+1)*$N$5,"""")"),"")</f>
        <v/>
      </c>
      <c r="I62" s="16" t="str">
        <f t="shared" ca="1" si="6"/>
        <v/>
      </c>
      <c r="J62" s="16" t="str">
        <f t="shared" si="7"/>
        <v/>
      </c>
      <c r="K62" s="16" t="str">
        <f t="shared" si="8"/>
        <v/>
      </c>
      <c r="L62" s="16"/>
    </row>
    <row r="63" spans="1:12" ht="14.5" x14ac:dyDescent="0.35">
      <c r="A63" s="16"/>
      <c r="B63" s="16"/>
      <c r="C63" s="16"/>
      <c r="D63" s="16"/>
      <c r="E63" s="22" t="str">
        <f ca="1">IFERROR(__xludf.dummyfunction("iferror(1000+INT(($N$2-(index(split(D63,"":""),1)*60+index(split(D63,"":""),2 )))/0.2+1)*$N$3,"""")"),"")</f>
        <v/>
      </c>
      <c r="F63" s="16" t="str">
        <f t="shared" ca="1" si="5"/>
        <v/>
      </c>
      <c r="G63" s="16"/>
      <c r="H63" s="22" t="str">
        <f ca="1">IFERROR(__xludf.dummyfunction("iferror(1000+INT(($N$4-(index(split(G63,"":""),1)*60+index(split(G63,"":""),2 )))/0.2+1)*$N$5,"""")"),"")</f>
        <v/>
      </c>
      <c r="I63" s="16" t="str">
        <f t="shared" ca="1" si="6"/>
        <v/>
      </c>
      <c r="J63" s="16" t="str">
        <f t="shared" si="7"/>
        <v/>
      </c>
      <c r="K63" s="16" t="str">
        <f t="shared" si="8"/>
        <v/>
      </c>
      <c r="L63" s="16"/>
    </row>
    <row r="64" spans="1:12" ht="14.5" x14ac:dyDescent="0.35">
      <c r="A64" s="16"/>
      <c r="B64" s="16"/>
      <c r="C64" s="16"/>
      <c r="D64" s="16"/>
      <c r="E64" s="22" t="str">
        <f ca="1">IFERROR(__xludf.dummyfunction("iferror(1000+INT(($N$2-(index(split(D64,"":""),1)*60+index(split(D64,"":""),2 )))/0.2+1)*$N$3,"""")"),"")</f>
        <v/>
      </c>
      <c r="F64" s="16" t="str">
        <f t="shared" ca="1" si="5"/>
        <v/>
      </c>
      <c r="G64" s="16"/>
      <c r="H64" s="22" t="str">
        <f ca="1">IFERROR(__xludf.dummyfunction("iferror(1000+INT(($N$4-(index(split(G64,"":""),1)*60+index(split(G64,"":""),2 )))/0.2+1)*$N$5,"""")"),"")</f>
        <v/>
      </c>
      <c r="I64" s="16" t="str">
        <f t="shared" ca="1" si="6"/>
        <v/>
      </c>
      <c r="J64" s="16" t="str">
        <f t="shared" si="7"/>
        <v/>
      </c>
      <c r="K64" s="16" t="str">
        <f t="shared" si="8"/>
        <v/>
      </c>
      <c r="L64" s="16"/>
    </row>
    <row r="65" spans="1:12" ht="14.5" x14ac:dyDescent="0.35">
      <c r="A65" s="16"/>
      <c r="B65" s="16"/>
      <c r="C65" s="16"/>
      <c r="D65" s="16"/>
      <c r="E65" s="22" t="str">
        <f ca="1">IFERROR(__xludf.dummyfunction("iferror(1000+INT(($N$2-(index(split(D65,"":""),1)*60+index(split(D65,"":""),2 )))/0.2+1)*$N$3,"""")"),"")</f>
        <v/>
      </c>
      <c r="F65" s="16" t="str">
        <f t="shared" ca="1" si="5"/>
        <v/>
      </c>
      <c r="G65" s="16"/>
      <c r="H65" s="22" t="str">
        <f ca="1">IFERROR(__xludf.dummyfunction("iferror(1000+INT(($N$4-(index(split(G65,"":""),1)*60+index(split(G65,"":""),2 )))/0.2+1)*$N$5,"""")"),"")</f>
        <v/>
      </c>
      <c r="I65" s="16" t="str">
        <f t="shared" ca="1" si="6"/>
        <v/>
      </c>
      <c r="J65" s="16" t="str">
        <f t="shared" si="7"/>
        <v/>
      </c>
      <c r="K65" s="16" t="str">
        <f t="shared" si="8"/>
        <v/>
      </c>
      <c r="L65" s="16"/>
    </row>
    <row r="66" spans="1:12" ht="14.5" x14ac:dyDescent="0.35">
      <c r="A66" s="16"/>
      <c r="B66" s="16"/>
      <c r="C66" s="16"/>
      <c r="D66" s="16"/>
      <c r="E66" s="22" t="str">
        <f ca="1">IFERROR(__xludf.dummyfunction("iferror(1000+INT(($N$2-(index(split(D66,"":""),1)*60+index(split(D66,"":""),2 )))/0.2+1)*$N$3,"""")"),"")</f>
        <v/>
      </c>
      <c r="F66" s="16" t="str">
        <f t="shared" ref="F66:F97" ca="1" si="9">IFERROR(_xlfn.RANK.EQ(E66,E:E),"")</f>
        <v/>
      </c>
      <c r="G66" s="16"/>
      <c r="H66" s="22" t="str">
        <f ca="1">IFERROR(__xludf.dummyfunction("iferror(1000+INT(($N$4-(index(split(G66,"":""),1)*60+index(split(G66,"":""),2 )))/0.2+1)*$N$5,"""")"),"")</f>
        <v/>
      </c>
      <c r="I66" s="16" t="str">
        <f t="shared" ref="I66:I97" ca="1" si="10">IFERROR(_xlfn.RANK.EQ(H66,H:H),"")</f>
        <v/>
      </c>
      <c r="J66" s="16" t="str">
        <f t="shared" ref="J66:J100" si="11">IF(AND(D66="", G66=""), "", E66+H66)</f>
        <v/>
      </c>
      <c r="K66" s="16" t="str">
        <f t="shared" ref="K66:K97" si="12">IFERROR(_xlfn.RANK.EQ(J66,J:J),"")</f>
        <v/>
      </c>
      <c r="L66" s="16"/>
    </row>
    <row r="67" spans="1:12" ht="14.5" x14ac:dyDescent="0.35">
      <c r="A67" s="16"/>
      <c r="B67" s="16"/>
      <c r="C67" s="16"/>
      <c r="D67" s="16"/>
      <c r="E67" s="22" t="str">
        <f ca="1">IFERROR(__xludf.dummyfunction("iferror(1000+INT(($N$2-(index(split(D67,"":""),1)*60+index(split(D67,"":""),2 )))/0.2+1)*$N$3,"""")"),"")</f>
        <v/>
      </c>
      <c r="F67" s="16" t="str">
        <f t="shared" ca="1" si="9"/>
        <v/>
      </c>
      <c r="G67" s="16"/>
      <c r="H67" s="22" t="str">
        <f ca="1">IFERROR(__xludf.dummyfunction("iferror(1000+INT(($N$4-(index(split(G67,"":""),1)*60+index(split(G67,"":""),2 )))/0.2+1)*$N$5,"""")"),"")</f>
        <v/>
      </c>
      <c r="I67" s="16" t="str">
        <f t="shared" ca="1" si="10"/>
        <v/>
      </c>
      <c r="J67" s="16" t="str">
        <f t="shared" si="11"/>
        <v/>
      </c>
      <c r="K67" s="16" t="str">
        <f t="shared" si="12"/>
        <v/>
      </c>
      <c r="L67" s="16"/>
    </row>
    <row r="68" spans="1:12" ht="14.5" x14ac:dyDescent="0.35">
      <c r="A68" s="16"/>
      <c r="B68" s="16"/>
      <c r="C68" s="16"/>
      <c r="D68" s="16"/>
      <c r="E68" s="22" t="str">
        <f ca="1">IFERROR(__xludf.dummyfunction("iferror(1000+INT(($N$2-(index(split(D68,"":""),1)*60+index(split(D68,"":""),2 )))/0.2+1)*$N$3,"""")"),"")</f>
        <v/>
      </c>
      <c r="F68" s="16" t="str">
        <f t="shared" ca="1" si="9"/>
        <v/>
      </c>
      <c r="G68" s="16"/>
      <c r="H68" s="22" t="str">
        <f ca="1">IFERROR(__xludf.dummyfunction("iferror(1000+INT(($N$4-(index(split(G68,"":""),1)*60+index(split(G68,"":""),2 )))/0.2+1)*$N$5,"""")"),"")</f>
        <v/>
      </c>
      <c r="I68" s="16" t="str">
        <f t="shared" ca="1" si="10"/>
        <v/>
      </c>
      <c r="J68" s="16" t="str">
        <f t="shared" si="11"/>
        <v/>
      </c>
      <c r="K68" s="16" t="str">
        <f t="shared" si="12"/>
        <v/>
      </c>
      <c r="L68" s="16"/>
    </row>
    <row r="69" spans="1:12" ht="14.5" x14ac:dyDescent="0.35">
      <c r="A69" s="16"/>
      <c r="B69" s="16"/>
      <c r="C69" s="16"/>
      <c r="D69" s="16"/>
      <c r="E69" s="22" t="str">
        <f ca="1">IFERROR(__xludf.dummyfunction("iferror(1000+INT(($N$2-(index(split(D69,"":""),1)*60+index(split(D69,"":""),2 )))/0.2+1)*$N$3,"""")"),"")</f>
        <v/>
      </c>
      <c r="F69" s="16" t="str">
        <f t="shared" ca="1" si="9"/>
        <v/>
      </c>
      <c r="G69" s="16"/>
      <c r="H69" s="22" t="str">
        <f ca="1">IFERROR(__xludf.dummyfunction("iferror(1000+INT(($N$4-(index(split(G69,"":""),1)*60+index(split(G69,"":""),2 )))/0.2+1)*$N$5,"""")"),"")</f>
        <v/>
      </c>
      <c r="I69" s="16" t="str">
        <f t="shared" ca="1" si="10"/>
        <v/>
      </c>
      <c r="J69" s="16" t="str">
        <f t="shared" si="11"/>
        <v/>
      </c>
      <c r="K69" s="16" t="str">
        <f t="shared" si="12"/>
        <v/>
      </c>
      <c r="L69" s="16"/>
    </row>
    <row r="70" spans="1:12" ht="14.5" x14ac:dyDescent="0.35">
      <c r="A70" s="16"/>
      <c r="B70" s="16"/>
      <c r="C70" s="16"/>
      <c r="D70" s="16"/>
      <c r="E70" s="22" t="str">
        <f ca="1">IFERROR(__xludf.dummyfunction("iferror(1000+INT(($N$2-(index(split(D70,"":""),1)*60+index(split(D70,"":""),2 )))/0.2+1)*$N$3,"""")"),"")</f>
        <v/>
      </c>
      <c r="F70" s="16" t="str">
        <f t="shared" ca="1" si="9"/>
        <v/>
      </c>
      <c r="G70" s="16"/>
      <c r="H70" s="22" t="str">
        <f ca="1">IFERROR(__xludf.dummyfunction("iferror(1000+INT(($N$4-(index(split(G70,"":""),1)*60+index(split(G70,"":""),2 )))/0.2+1)*$N$5,"""")"),"")</f>
        <v/>
      </c>
      <c r="I70" s="16" t="str">
        <f t="shared" ca="1" si="10"/>
        <v/>
      </c>
      <c r="J70" s="16" t="str">
        <f t="shared" si="11"/>
        <v/>
      </c>
      <c r="K70" s="16" t="str">
        <f t="shared" si="12"/>
        <v/>
      </c>
      <c r="L70" s="16"/>
    </row>
    <row r="71" spans="1:12" ht="14.5" x14ac:dyDescent="0.35">
      <c r="A71" s="16"/>
      <c r="B71" s="16"/>
      <c r="C71" s="16"/>
      <c r="D71" s="16"/>
      <c r="E71" s="22" t="str">
        <f ca="1">IFERROR(__xludf.dummyfunction("iferror(1000+INT(($N$2-(index(split(D71,"":""),1)*60+index(split(D71,"":""),2 )))/0.2+1)*$N$3,"""")"),"")</f>
        <v/>
      </c>
      <c r="F71" s="16" t="str">
        <f t="shared" ca="1" si="9"/>
        <v/>
      </c>
      <c r="G71" s="16"/>
      <c r="H71" s="22" t="str">
        <f ca="1">IFERROR(__xludf.dummyfunction("iferror(1000+INT(($N$4-(index(split(G71,"":""),1)*60+index(split(G71,"":""),2 )))/0.2+1)*$N$5,"""")"),"")</f>
        <v/>
      </c>
      <c r="I71" s="16" t="str">
        <f t="shared" ca="1" si="10"/>
        <v/>
      </c>
      <c r="J71" s="16" t="str">
        <f t="shared" si="11"/>
        <v/>
      </c>
      <c r="K71" s="16" t="str">
        <f t="shared" si="12"/>
        <v/>
      </c>
      <c r="L71" s="16"/>
    </row>
    <row r="72" spans="1:12" ht="14.5" x14ac:dyDescent="0.35">
      <c r="A72" s="16"/>
      <c r="B72" s="16"/>
      <c r="C72" s="16"/>
      <c r="D72" s="16"/>
      <c r="E72" s="22" t="str">
        <f ca="1">IFERROR(__xludf.dummyfunction("iferror(1000+INT(($N$2-(index(split(D72,"":""),1)*60+index(split(D72,"":""),2 )))/0.2+1)*$N$3,"""")"),"")</f>
        <v/>
      </c>
      <c r="F72" s="16" t="str">
        <f t="shared" ca="1" si="9"/>
        <v/>
      </c>
      <c r="G72" s="16"/>
      <c r="H72" s="22" t="str">
        <f ca="1">IFERROR(__xludf.dummyfunction("iferror(1000+INT(($N$4-(index(split(G72,"":""),1)*60+index(split(G72,"":""),2 )))/0.2+1)*$N$5,"""")"),"")</f>
        <v/>
      </c>
      <c r="I72" s="16" t="str">
        <f t="shared" ca="1" si="10"/>
        <v/>
      </c>
      <c r="J72" s="16" t="str">
        <f t="shared" si="11"/>
        <v/>
      </c>
      <c r="K72" s="16" t="str">
        <f t="shared" si="12"/>
        <v/>
      </c>
      <c r="L72" s="16"/>
    </row>
    <row r="73" spans="1:12" ht="14.5" x14ac:dyDescent="0.35">
      <c r="A73" s="16"/>
      <c r="B73" s="16"/>
      <c r="C73" s="16"/>
      <c r="D73" s="16"/>
      <c r="E73" s="22" t="str">
        <f ca="1">IFERROR(__xludf.dummyfunction("iferror(1000+INT(($N$2-(index(split(D73,"":""),1)*60+index(split(D73,"":""),2 )))/0.2+1)*$N$3,"""")"),"")</f>
        <v/>
      </c>
      <c r="F73" s="16" t="str">
        <f t="shared" ca="1" si="9"/>
        <v/>
      </c>
      <c r="G73" s="16"/>
      <c r="H73" s="22" t="str">
        <f ca="1">IFERROR(__xludf.dummyfunction("iferror(1000+INT(($N$4-(index(split(G73,"":""),1)*60+index(split(G73,"":""),2 )))/0.2+1)*$N$5,"""")"),"")</f>
        <v/>
      </c>
      <c r="I73" s="16" t="str">
        <f t="shared" ca="1" si="10"/>
        <v/>
      </c>
      <c r="J73" s="16" t="str">
        <f t="shared" si="11"/>
        <v/>
      </c>
      <c r="K73" s="16" t="str">
        <f t="shared" si="12"/>
        <v/>
      </c>
      <c r="L73" s="16"/>
    </row>
    <row r="74" spans="1:12" ht="14.5" x14ac:dyDescent="0.35">
      <c r="A74" s="16"/>
      <c r="B74" s="16"/>
      <c r="C74" s="16"/>
      <c r="D74" s="16"/>
      <c r="E74" s="22" t="str">
        <f ca="1">IFERROR(__xludf.dummyfunction("iferror(1000+INT(($N$2-(index(split(D74,"":""),1)*60+index(split(D74,"":""),2 )))/0.2+1)*$N$3,"""")"),"")</f>
        <v/>
      </c>
      <c r="F74" s="16" t="str">
        <f t="shared" ca="1" si="9"/>
        <v/>
      </c>
      <c r="G74" s="16"/>
      <c r="H74" s="22" t="str">
        <f ca="1">IFERROR(__xludf.dummyfunction("iferror(1000+INT(($N$4-(index(split(G74,"":""),1)*60+index(split(G74,"":""),2 )))/0.2+1)*$N$5,"""")"),"")</f>
        <v/>
      </c>
      <c r="I74" s="16" t="str">
        <f t="shared" ca="1" si="10"/>
        <v/>
      </c>
      <c r="J74" s="16" t="str">
        <f t="shared" si="11"/>
        <v/>
      </c>
      <c r="K74" s="16" t="str">
        <f t="shared" si="12"/>
        <v/>
      </c>
      <c r="L74" s="16"/>
    </row>
    <row r="75" spans="1:12" ht="14.5" x14ac:dyDescent="0.35">
      <c r="A75" s="16"/>
      <c r="B75" s="16"/>
      <c r="C75" s="16"/>
      <c r="D75" s="16"/>
      <c r="E75" s="22" t="str">
        <f ca="1">IFERROR(__xludf.dummyfunction("iferror(1000+INT(($N$2-(index(split(D75,"":""),1)*60+index(split(D75,"":""),2 )))/0.2+1)*$N$3,"""")"),"")</f>
        <v/>
      </c>
      <c r="F75" s="16" t="str">
        <f t="shared" ca="1" si="9"/>
        <v/>
      </c>
      <c r="G75" s="16"/>
      <c r="H75" s="22" t="str">
        <f ca="1">IFERROR(__xludf.dummyfunction("iferror(1000+INT(($N$4-(index(split(G75,"":""),1)*60+index(split(G75,"":""),2 )))/0.2+1)*$N$5,"""")"),"")</f>
        <v/>
      </c>
      <c r="I75" s="16" t="str">
        <f t="shared" ca="1" si="10"/>
        <v/>
      </c>
      <c r="J75" s="16" t="str">
        <f t="shared" si="11"/>
        <v/>
      </c>
      <c r="K75" s="16" t="str">
        <f t="shared" si="12"/>
        <v/>
      </c>
      <c r="L75" s="16"/>
    </row>
    <row r="76" spans="1:12" ht="14.5" x14ac:dyDescent="0.35">
      <c r="A76" s="16"/>
      <c r="B76" s="16"/>
      <c r="C76" s="16"/>
      <c r="D76" s="16"/>
      <c r="E76" s="22" t="str">
        <f ca="1">IFERROR(__xludf.dummyfunction("iferror(1000+INT(($N$2-(index(split(D76,"":""),1)*60+index(split(D76,"":""),2 )))/0.2+1)*$N$3,"""")"),"")</f>
        <v/>
      </c>
      <c r="F76" s="16" t="str">
        <f t="shared" ca="1" si="9"/>
        <v/>
      </c>
      <c r="G76" s="16"/>
      <c r="H76" s="22" t="str">
        <f ca="1">IFERROR(__xludf.dummyfunction("iferror(1000+INT(($N$4-(index(split(G76,"":""),1)*60+index(split(G76,"":""),2 )))/0.2+1)*$N$5,"""")"),"")</f>
        <v/>
      </c>
      <c r="I76" s="16" t="str">
        <f t="shared" ca="1" si="10"/>
        <v/>
      </c>
      <c r="J76" s="16" t="str">
        <f t="shared" si="11"/>
        <v/>
      </c>
      <c r="K76" s="16" t="str">
        <f t="shared" si="12"/>
        <v/>
      </c>
      <c r="L76" s="16"/>
    </row>
    <row r="77" spans="1:12" ht="14.5" x14ac:dyDescent="0.35">
      <c r="A77" s="16"/>
      <c r="B77" s="16"/>
      <c r="C77" s="16"/>
      <c r="D77" s="16"/>
      <c r="E77" s="22" t="str">
        <f ca="1">IFERROR(__xludf.dummyfunction("iferror(1000+INT(($N$2-(index(split(D77,"":""),1)*60+index(split(D77,"":""),2 )))/0.2+1)*$N$3,"""")"),"")</f>
        <v/>
      </c>
      <c r="F77" s="16" t="str">
        <f t="shared" ca="1" si="9"/>
        <v/>
      </c>
      <c r="G77" s="16"/>
      <c r="H77" s="22" t="str">
        <f ca="1">IFERROR(__xludf.dummyfunction("iferror(1000+INT(($N$4-(index(split(G77,"":""),1)*60+index(split(G77,"":""),2 )))/0.2+1)*$N$5,"""")"),"")</f>
        <v/>
      </c>
      <c r="I77" s="16" t="str">
        <f t="shared" ca="1" si="10"/>
        <v/>
      </c>
      <c r="J77" s="16" t="str">
        <f t="shared" si="11"/>
        <v/>
      </c>
      <c r="K77" s="16" t="str">
        <f t="shared" si="12"/>
        <v/>
      </c>
      <c r="L77" s="16"/>
    </row>
    <row r="78" spans="1:12" ht="14.5" x14ac:dyDescent="0.35">
      <c r="A78" s="16"/>
      <c r="B78" s="16"/>
      <c r="C78" s="16"/>
      <c r="D78" s="16"/>
      <c r="E78" s="22" t="str">
        <f ca="1">IFERROR(__xludf.dummyfunction("iferror(1000+INT(($N$2-(index(split(D78,"":""),1)*60+index(split(D78,"":""),2 )))/0.2+1)*$N$3,"""")"),"")</f>
        <v/>
      </c>
      <c r="F78" s="16" t="str">
        <f t="shared" ca="1" si="9"/>
        <v/>
      </c>
      <c r="G78" s="16"/>
      <c r="H78" s="22" t="str">
        <f ca="1">IFERROR(__xludf.dummyfunction("iferror(1000+INT(($N$4-(index(split(G78,"":""),1)*60+index(split(G78,"":""),2 )))/0.2+1)*$N$5,"""")"),"")</f>
        <v/>
      </c>
      <c r="I78" s="16" t="str">
        <f t="shared" ca="1" si="10"/>
        <v/>
      </c>
      <c r="J78" s="16" t="str">
        <f t="shared" si="11"/>
        <v/>
      </c>
      <c r="K78" s="16" t="str">
        <f t="shared" si="12"/>
        <v/>
      </c>
      <c r="L78" s="16"/>
    </row>
    <row r="79" spans="1:12" ht="14.5" x14ac:dyDescent="0.35">
      <c r="A79" s="16"/>
      <c r="B79" s="16"/>
      <c r="C79" s="16"/>
      <c r="D79" s="16"/>
      <c r="E79" s="22" t="str">
        <f ca="1">IFERROR(__xludf.dummyfunction("iferror(1000+INT(($N$2-(index(split(D79,"":""),1)*60+index(split(D79,"":""),2 )))/0.2+1)*$N$3,"""")"),"")</f>
        <v/>
      </c>
      <c r="F79" s="16" t="str">
        <f t="shared" ca="1" si="9"/>
        <v/>
      </c>
      <c r="G79" s="16"/>
      <c r="H79" s="22" t="str">
        <f ca="1">IFERROR(__xludf.dummyfunction("iferror(1000+INT(($N$4-(index(split(G79,"":""),1)*60+index(split(G79,"":""),2 )))/0.2+1)*$N$5,"""")"),"")</f>
        <v/>
      </c>
      <c r="I79" s="16" t="str">
        <f t="shared" ca="1" si="10"/>
        <v/>
      </c>
      <c r="J79" s="16" t="str">
        <f t="shared" si="11"/>
        <v/>
      </c>
      <c r="K79" s="16" t="str">
        <f t="shared" si="12"/>
        <v/>
      </c>
      <c r="L79" s="16"/>
    </row>
    <row r="80" spans="1:12" ht="14.5" x14ac:dyDescent="0.35">
      <c r="A80" s="16"/>
      <c r="B80" s="16"/>
      <c r="C80" s="16"/>
      <c r="D80" s="16"/>
      <c r="E80" s="22" t="str">
        <f ca="1">IFERROR(__xludf.dummyfunction("iferror(1000+INT(($N$2-(index(split(D80,"":""),1)*60+index(split(D80,"":""),2 )))/0.2+1)*$N$3,"""")"),"")</f>
        <v/>
      </c>
      <c r="F80" s="16" t="str">
        <f t="shared" ca="1" si="9"/>
        <v/>
      </c>
      <c r="G80" s="16"/>
      <c r="H80" s="22" t="str">
        <f ca="1">IFERROR(__xludf.dummyfunction("iferror(1000+INT(($N$4-(index(split(G80,"":""),1)*60+index(split(G80,"":""),2 )))/0.2+1)*$N$5,"""")"),"")</f>
        <v/>
      </c>
      <c r="I80" s="16" t="str">
        <f t="shared" ca="1" si="10"/>
        <v/>
      </c>
      <c r="J80" s="16" t="str">
        <f t="shared" si="11"/>
        <v/>
      </c>
      <c r="K80" s="16" t="str">
        <f t="shared" si="12"/>
        <v/>
      </c>
      <c r="L80" s="16"/>
    </row>
    <row r="81" spans="1:12" ht="14.5" x14ac:dyDescent="0.35">
      <c r="A81" s="16"/>
      <c r="B81" s="16"/>
      <c r="C81" s="16"/>
      <c r="D81" s="16"/>
      <c r="E81" s="22" t="str">
        <f ca="1">IFERROR(__xludf.dummyfunction("iferror(1000+INT(($N$2-(index(split(D81,"":""),1)*60+index(split(D81,"":""),2 )))/0.2+1)*$N$3,"""")"),"")</f>
        <v/>
      </c>
      <c r="F81" s="16" t="str">
        <f t="shared" ca="1" si="9"/>
        <v/>
      </c>
      <c r="G81" s="16"/>
      <c r="H81" s="22" t="str">
        <f ca="1">IFERROR(__xludf.dummyfunction("iferror(1000+INT(($N$4-(index(split(G81,"":""),1)*60+index(split(G81,"":""),2 )))/0.2+1)*$N$5,"""")"),"")</f>
        <v/>
      </c>
      <c r="I81" s="16" t="str">
        <f t="shared" ca="1" si="10"/>
        <v/>
      </c>
      <c r="J81" s="16" t="str">
        <f t="shared" si="11"/>
        <v/>
      </c>
      <c r="K81" s="16" t="str">
        <f t="shared" si="12"/>
        <v/>
      </c>
      <c r="L81" s="16"/>
    </row>
    <row r="82" spans="1:12" ht="14.5" x14ac:dyDescent="0.35">
      <c r="A82" s="16"/>
      <c r="B82" s="16"/>
      <c r="C82" s="16"/>
      <c r="D82" s="16"/>
      <c r="E82" s="22" t="str">
        <f ca="1">IFERROR(__xludf.dummyfunction("iferror(1000+INT(($N$2-(index(split(D82,"":""),1)*60+index(split(D82,"":""),2 )))/0.2+1)*$N$3,"""")"),"")</f>
        <v/>
      </c>
      <c r="F82" s="16" t="str">
        <f t="shared" ca="1" si="9"/>
        <v/>
      </c>
      <c r="G82" s="16"/>
      <c r="H82" s="22" t="str">
        <f ca="1">IFERROR(__xludf.dummyfunction("iferror(1000+INT(($N$4-(index(split(G82,"":""),1)*60+index(split(G82,"":""),2 )))/0.2+1)*$N$5,"""")"),"")</f>
        <v/>
      </c>
      <c r="I82" s="16" t="str">
        <f t="shared" ca="1" si="10"/>
        <v/>
      </c>
      <c r="J82" s="16" t="str">
        <f t="shared" si="11"/>
        <v/>
      </c>
      <c r="K82" s="16" t="str">
        <f t="shared" si="12"/>
        <v/>
      </c>
      <c r="L82" s="16"/>
    </row>
    <row r="83" spans="1:12" ht="14.5" x14ac:dyDescent="0.35">
      <c r="A83" s="16"/>
      <c r="B83" s="16"/>
      <c r="C83" s="16"/>
      <c r="D83" s="16"/>
      <c r="E83" s="22" t="str">
        <f ca="1">IFERROR(__xludf.dummyfunction("iferror(1000+INT(($N$2-(index(split(D83,"":""),1)*60+index(split(D83,"":""),2 )))/0.2+1)*$N$3,"""")"),"")</f>
        <v/>
      </c>
      <c r="F83" s="16" t="str">
        <f t="shared" ca="1" si="9"/>
        <v/>
      </c>
      <c r="G83" s="16"/>
      <c r="H83" s="22" t="str">
        <f ca="1">IFERROR(__xludf.dummyfunction("iferror(1000+INT(($N$4-(index(split(G83,"":""),1)*60+index(split(G83,"":""),2 )))/0.2+1)*$N$5,"""")"),"")</f>
        <v/>
      </c>
      <c r="I83" s="16" t="str">
        <f t="shared" ca="1" si="10"/>
        <v/>
      </c>
      <c r="J83" s="16" t="str">
        <f t="shared" si="11"/>
        <v/>
      </c>
      <c r="K83" s="16" t="str">
        <f t="shared" si="12"/>
        <v/>
      </c>
      <c r="L83" s="16"/>
    </row>
    <row r="84" spans="1:12" ht="14.5" x14ac:dyDescent="0.35">
      <c r="A84" s="16"/>
      <c r="B84" s="16"/>
      <c r="C84" s="16"/>
      <c r="D84" s="16"/>
      <c r="E84" s="22" t="str">
        <f ca="1">IFERROR(__xludf.dummyfunction("iferror(1000+INT(($N$2-(index(split(D84,"":""),1)*60+index(split(D84,"":""),2 )))/0.2+1)*$N$3,"""")"),"")</f>
        <v/>
      </c>
      <c r="F84" s="16" t="str">
        <f t="shared" ca="1" si="9"/>
        <v/>
      </c>
      <c r="G84" s="16"/>
      <c r="H84" s="22" t="str">
        <f ca="1">IFERROR(__xludf.dummyfunction("iferror(1000+INT(($N$4-(index(split(G84,"":""),1)*60+index(split(G84,"":""),2 )))/0.2+1)*$N$5,"""")"),"")</f>
        <v/>
      </c>
      <c r="I84" s="16" t="str">
        <f t="shared" ca="1" si="10"/>
        <v/>
      </c>
      <c r="J84" s="16" t="str">
        <f t="shared" si="11"/>
        <v/>
      </c>
      <c r="K84" s="16" t="str">
        <f t="shared" si="12"/>
        <v/>
      </c>
      <c r="L84" s="16"/>
    </row>
    <row r="85" spans="1:12" ht="14.5" x14ac:dyDescent="0.35">
      <c r="A85" s="16"/>
      <c r="B85" s="16"/>
      <c r="C85" s="16"/>
      <c r="D85" s="16"/>
      <c r="E85" s="22" t="str">
        <f ca="1">IFERROR(__xludf.dummyfunction("iferror(1000+INT(($N$2-(index(split(D85,"":""),1)*60+index(split(D85,"":""),2 )))/0.2+1)*$N$3,"""")"),"")</f>
        <v/>
      </c>
      <c r="F85" s="16" t="str">
        <f t="shared" ca="1" si="9"/>
        <v/>
      </c>
      <c r="G85" s="16"/>
      <c r="H85" s="22" t="str">
        <f ca="1">IFERROR(__xludf.dummyfunction("iferror(1000+INT(($N$4-(index(split(G85,"":""),1)*60+index(split(G85,"":""),2 )))/0.2+1)*$N$5,"""")"),"")</f>
        <v/>
      </c>
      <c r="I85" s="16" t="str">
        <f t="shared" ca="1" si="10"/>
        <v/>
      </c>
      <c r="J85" s="16" t="str">
        <f t="shared" si="11"/>
        <v/>
      </c>
      <c r="K85" s="16" t="str">
        <f t="shared" si="12"/>
        <v/>
      </c>
      <c r="L85" s="16"/>
    </row>
    <row r="86" spans="1:12" ht="14.5" x14ac:dyDescent="0.35">
      <c r="A86" s="16"/>
      <c r="B86" s="16"/>
      <c r="C86" s="16"/>
      <c r="D86" s="16"/>
      <c r="E86" s="22" t="str">
        <f ca="1">IFERROR(__xludf.dummyfunction("iferror(1000+INT(($N$2-(index(split(D86,"":""),1)*60+index(split(D86,"":""),2 )))/0.2+1)*$N$3,"""")"),"")</f>
        <v/>
      </c>
      <c r="F86" s="16" t="str">
        <f t="shared" ca="1" si="9"/>
        <v/>
      </c>
      <c r="G86" s="16"/>
      <c r="H86" s="22" t="str">
        <f ca="1">IFERROR(__xludf.dummyfunction("iferror(1000+INT(($N$4-(index(split(G86,"":""),1)*60+index(split(G86,"":""),2 )))/0.2+1)*$N$5,"""")"),"")</f>
        <v/>
      </c>
      <c r="I86" s="16" t="str">
        <f t="shared" ca="1" si="10"/>
        <v/>
      </c>
      <c r="J86" s="16" t="str">
        <f t="shared" si="11"/>
        <v/>
      </c>
      <c r="K86" s="16" t="str">
        <f t="shared" si="12"/>
        <v/>
      </c>
      <c r="L86" s="16"/>
    </row>
    <row r="87" spans="1:12" ht="14.5" x14ac:dyDescent="0.35">
      <c r="A87" s="16"/>
      <c r="B87" s="16"/>
      <c r="C87" s="16"/>
      <c r="D87" s="16"/>
      <c r="E87" s="22" t="str">
        <f ca="1">IFERROR(__xludf.dummyfunction("iferror(1000+INT(($N$2-(index(split(D87,"":""),1)*60+index(split(D87,"":""),2 )))/0.2+1)*$N$3,"""")"),"")</f>
        <v/>
      </c>
      <c r="F87" s="16" t="str">
        <f t="shared" ca="1" si="9"/>
        <v/>
      </c>
      <c r="G87" s="16"/>
      <c r="H87" s="22" t="str">
        <f ca="1">IFERROR(__xludf.dummyfunction("iferror(1000+INT(($N$4-(index(split(G87,"":""),1)*60+index(split(G87,"":""),2 )))/0.2+1)*$N$5,"""")"),"")</f>
        <v/>
      </c>
      <c r="I87" s="16" t="str">
        <f t="shared" ca="1" si="10"/>
        <v/>
      </c>
      <c r="J87" s="16" t="str">
        <f t="shared" si="11"/>
        <v/>
      </c>
      <c r="K87" s="16" t="str">
        <f t="shared" si="12"/>
        <v/>
      </c>
      <c r="L87" s="16"/>
    </row>
    <row r="88" spans="1:12" ht="14.5" x14ac:dyDescent="0.35">
      <c r="A88" s="16"/>
      <c r="B88" s="16"/>
      <c r="C88" s="16"/>
      <c r="D88" s="16"/>
      <c r="E88" s="22" t="str">
        <f ca="1">IFERROR(__xludf.dummyfunction("iferror(1000+INT(($N$2-(index(split(D88,"":""),1)*60+index(split(D88,"":""),2 )))/0.2+1)*$N$3,"""")"),"")</f>
        <v/>
      </c>
      <c r="F88" s="16" t="str">
        <f t="shared" ca="1" si="9"/>
        <v/>
      </c>
      <c r="G88" s="16"/>
      <c r="H88" s="22" t="str">
        <f ca="1">IFERROR(__xludf.dummyfunction("iferror(1000+INT(($N$4-(index(split(G88,"":""),1)*60+index(split(G88,"":""),2 )))/0.2+1)*$N$5,"""")"),"")</f>
        <v/>
      </c>
      <c r="I88" s="16" t="str">
        <f t="shared" ca="1" si="10"/>
        <v/>
      </c>
      <c r="J88" s="16" t="str">
        <f t="shared" si="11"/>
        <v/>
      </c>
      <c r="K88" s="16" t="str">
        <f t="shared" si="12"/>
        <v/>
      </c>
      <c r="L88" s="16"/>
    </row>
    <row r="89" spans="1:12" ht="14.5" x14ac:dyDescent="0.35">
      <c r="A89" s="16"/>
      <c r="B89" s="16"/>
      <c r="C89" s="16"/>
      <c r="D89" s="16"/>
      <c r="E89" s="22" t="str">
        <f ca="1">IFERROR(__xludf.dummyfunction("iferror(1000+INT(($N$2-(index(split(D89,"":""),1)*60+index(split(D89,"":""),2 )))/0.2+1)*$N$3,"""")"),"")</f>
        <v/>
      </c>
      <c r="F89" s="16" t="str">
        <f t="shared" ca="1" si="9"/>
        <v/>
      </c>
      <c r="G89" s="16"/>
      <c r="H89" s="22" t="str">
        <f ca="1">IFERROR(__xludf.dummyfunction("iferror(1000+INT(($N$4-(index(split(G89,"":""),1)*60+index(split(G89,"":""),2 )))/0.2+1)*$N$5,"""")"),"")</f>
        <v/>
      </c>
      <c r="I89" s="16" t="str">
        <f t="shared" ca="1" si="10"/>
        <v/>
      </c>
      <c r="J89" s="16" t="str">
        <f t="shared" si="11"/>
        <v/>
      </c>
      <c r="K89" s="16" t="str">
        <f t="shared" si="12"/>
        <v/>
      </c>
      <c r="L89" s="16"/>
    </row>
    <row r="90" spans="1:12" ht="14.5" x14ac:dyDescent="0.35">
      <c r="A90" s="16"/>
      <c r="B90" s="16"/>
      <c r="C90" s="16"/>
      <c r="D90" s="16"/>
      <c r="E90" s="22" t="str">
        <f ca="1">IFERROR(__xludf.dummyfunction("iferror(1000+INT(($N$2-(index(split(D90,"":""),1)*60+index(split(D90,"":""),2 )))/0.2+1)*$N$3,"""")"),"")</f>
        <v/>
      </c>
      <c r="F90" s="16" t="str">
        <f t="shared" ca="1" si="9"/>
        <v/>
      </c>
      <c r="G90" s="16"/>
      <c r="H90" s="22" t="str">
        <f ca="1">IFERROR(__xludf.dummyfunction("iferror(1000+INT(($N$4-(index(split(G90,"":""),1)*60+index(split(G90,"":""),2 )))/0.2+1)*$N$5,"""")"),"")</f>
        <v/>
      </c>
      <c r="I90" s="16" t="str">
        <f t="shared" ca="1" si="10"/>
        <v/>
      </c>
      <c r="J90" s="16" t="str">
        <f t="shared" si="11"/>
        <v/>
      </c>
      <c r="K90" s="16" t="str">
        <f t="shared" si="12"/>
        <v/>
      </c>
      <c r="L90" s="16"/>
    </row>
    <row r="91" spans="1:12" ht="14.5" x14ac:dyDescent="0.35">
      <c r="A91" s="16"/>
      <c r="B91" s="16"/>
      <c r="C91" s="16"/>
      <c r="D91" s="16"/>
      <c r="E91" s="22" t="str">
        <f ca="1">IFERROR(__xludf.dummyfunction("iferror(1000+INT(($N$2-(index(split(D91,"":""),1)*60+index(split(D91,"":""),2 )))/0.2+1)*$N$3,"""")"),"")</f>
        <v/>
      </c>
      <c r="F91" s="16" t="str">
        <f t="shared" ca="1" si="9"/>
        <v/>
      </c>
      <c r="G91" s="16"/>
      <c r="H91" s="22" t="str">
        <f ca="1">IFERROR(__xludf.dummyfunction("iferror(1000+INT(($N$4-(index(split(G91,"":""),1)*60+index(split(G91,"":""),2 )))/0.2+1)*$N$5,"""")"),"")</f>
        <v/>
      </c>
      <c r="I91" s="16" t="str">
        <f t="shared" ca="1" si="10"/>
        <v/>
      </c>
      <c r="J91" s="16" t="str">
        <f t="shared" si="11"/>
        <v/>
      </c>
      <c r="K91" s="16" t="str">
        <f t="shared" si="12"/>
        <v/>
      </c>
      <c r="L91" s="16"/>
    </row>
    <row r="92" spans="1:12" ht="14.5" x14ac:dyDescent="0.35">
      <c r="A92" s="16"/>
      <c r="B92" s="16"/>
      <c r="C92" s="16"/>
      <c r="D92" s="16"/>
      <c r="E92" s="22" t="str">
        <f ca="1">IFERROR(__xludf.dummyfunction("iferror(1000+INT(($N$2-(index(split(D92,"":""),1)*60+index(split(D92,"":""),2 )))/0.2+1)*$N$3,"""")"),"")</f>
        <v/>
      </c>
      <c r="F92" s="16" t="str">
        <f t="shared" ca="1" si="9"/>
        <v/>
      </c>
      <c r="G92" s="16"/>
      <c r="H92" s="22" t="str">
        <f ca="1">IFERROR(__xludf.dummyfunction("iferror(1000+INT(($N$4-(index(split(G92,"":""),1)*60+index(split(G92,"":""),2 )))/0.2+1)*$N$5,"""")"),"")</f>
        <v/>
      </c>
      <c r="I92" s="16" t="str">
        <f t="shared" ca="1" si="10"/>
        <v/>
      </c>
      <c r="J92" s="16" t="str">
        <f t="shared" si="11"/>
        <v/>
      </c>
      <c r="K92" s="16" t="str">
        <f t="shared" si="12"/>
        <v/>
      </c>
      <c r="L92" s="16"/>
    </row>
    <row r="93" spans="1:12" ht="14.5" x14ac:dyDescent="0.35">
      <c r="A93" s="16"/>
      <c r="B93" s="16"/>
      <c r="C93" s="16"/>
      <c r="D93" s="16"/>
      <c r="E93" s="22" t="str">
        <f ca="1">IFERROR(__xludf.dummyfunction("iferror(1000+INT(($N$2-(index(split(D93,"":""),1)*60+index(split(D93,"":""),2 )))/0.2+1)*$N$3,"""")"),"")</f>
        <v/>
      </c>
      <c r="F93" s="16" t="str">
        <f t="shared" ca="1" si="9"/>
        <v/>
      </c>
      <c r="G93" s="16"/>
      <c r="H93" s="22" t="str">
        <f ca="1">IFERROR(__xludf.dummyfunction("iferror(1000+INT(($N$4-(index(split(G93,"":""),1)*60+index(split(G93,"":""),2 )))/0.2+1)*$N$5,"""")"),"")</f>
        <v/>
      </c>
      <c r="I93" s="16" t="str">
        <f t="shared" ca="1" si="10"/>
        <v/>
      </c>
      <c r="J93" s="16" t="str">
        <f t="shared" si="11"/>
        <v/>
      </c>
      <c r="K93" s="16" t="str">
        <f t="shared" si="12"/>
        <v/>
      </c>
      <c r="L93" s="16"/>
    </row>
    <row r="94" spans="1:12" ht="14.5" x14ac:dyDescent="0.35">
      <c r="A94" s="16"/>
      <c r="B94" s="16"/>
      <c r="C94" s="16"/>
      <c r="D94" s="16"/>
      <c r="E94" s="22" t="str">
        <f ca="1">IFERROR(__xludf.dummyfunction("iferror(1000+INT(($N$2-(index(split(D94,"":""),1)*60+index(split(D94,"":""),2 )))/0.2+1)*$N$3,"""")"),"")</f>
        <v/>
      </c>
      <c r="F94" s="16" t="str">
        <f t="shared" ca="1" si="9"/>
        <v/>
      </c>
      <c r="G94" s="16"/>
      <c r="H94" s="22" t="str">
        <f ca="1">IFERROR(__xludf.dummyfunction("iferror(1000+INT(($N$4-(index(split(G94,"":""),1)*60+index(split(G94,"":""),2 )))/0.2+1)*$N$5,"""")"),"")</f>
        <v/>
      </c>
      <c r="I94" s="16" t="str">
        <f t="shared" ca="1" si="10"/>
        <v/>
      </c>
      <c r="J94" s="16" t="str">
        <f t="shared" si="11"/>
        <v/>
      </c>
      <c r="K94" s="16" t="str">
        <f t="shared" si="12"/>
        <v/>
      </c>
      <c r="L94" s="16"/>
    </row>
    <row r="95" spans="1:12" ht="14.5" x14ac:dyDescent="0.35">
      <c r="A95" s="16"/>
      <c r="B95" s="16"/>
      <c r="C95" s="16"/>
      <c r="D95" s="16"/>
      <c r="E95" s="22" t="str">
        <f ca="1">IFERROR(__xludf.dummyfunction("iferror(1000+INT(($N$2-(index(split(D95,"":""),1)*60+index(split(D95,"":""),2 )))/0.2+1)*$N$3,"""")"),"")</f>
        <v/>
      </c>
      <c r="F95" s="16" t="str">
        <f t="shared" ca="1" si="9"/>
        <v/>
      </c>
      <c r="G95" s="16"/>
      <c r="H95" s="22" t="str">
        <f ca="1">IFERROR(__xludf.dummyfunction("iferror(1000+INT(($N$4-(index(split(G95,"":""),1)*60+index(split(G95,"":""),2 )))/0.2+1)*$N$5,"""")"),"")</f>
        <v/>
      </c>
      <c r="I95" s="16" t="str">
        <f t="shared" ca="1" si="10"/>
        <v/>
      </c>
      <c r="J95" s="16" t="str">
        <f t="shared" si="11"/>
        <v/>
      </c>
      <c r="K95" s="16" t="str">
        <f t="shared" si="12"/>
        <v/>
      </c>
      <c r="L95" s="16"/>
    </row>
    <row r="96" spans="1:12" ht="14.5" x14ac:dyDescent="0.35">
      <c r="A96" s="16"/>
      <c r="B96" s="16"/>
      <c r="C96" s="16"/>
      <c r="D96" s="16"/>
      <c r="E96" s="22" t="str">
        <f ca="1">IFERROR(__xludf.dummyfunction("iferror(1000+INT(($N$2-(index(split(D96,"":""),1)*60+index(split(D96,"":""),2 )))/0.2+1)*$N$3,"""")"),"")</f>
        <v/>
      </c>
      <c r="F96" s="16" t="str">
        <f t="shared" ca="1" si="9"/>
        <v/>
      </c>
      <c r="G96" s="16"/>
      <c r="H96" s="22" t="str">
        <f ca="1">IFERROR(__xludf.dummyfunction("iferror(1000+INT(($N$4-(index(split(G96,"":""),1)*60+index(split(G96,"":""),2 )))/0.2+1)*$N$5,"""")"),"")</f>
        <v/>
      </c>
      <c r="I96" s="16" t="str">
        <f t="shared" ca="1" si="10"/>
        <v/>
      </c>
      <c r="J96" s="16" t="str">
        <f t="shared" si="11"/>
        <v/>
      </c>
      <c r="K96" s="16" t="str">
        <f t="shared" si="12"/>
        <v/>
      </c>
      <c r="L96" s="16"/>
    </row>
    <row r="97" spans="1:12" ht="14.5" x14ac:dyDescent="0.35">
      <c r="A97" s="16"/>
      <c r="B97" s="16"/>
      <c r="C97" s="16"/>
      <c r="D97" s="16"/>
      <c r="E97" s="22" t="str">
        <f ca="1">IFERROR(__xludf.dummyfunction("iferror(1000+INT(($N$2-(index(split(D97,"":""),1)*60+index(split(D97,"":""),2 )))/0.2+1)*$N$3,"""")"),"")</f>
        <v/>
      </c>
      <c r="F97" s="16" t="str">
        <f t="shared" ca="1" si="9"/>
        <v/>
      </c>
      <c r="G97" s="16"/>
      <c r="H97" s="22" t="str">
        <f ca="1">IFERROR(__xludf.dummyfunction("iferror(1000+INT(($N$4-(index(split(G97,"":""),1)*60+index(split(G97,"":""),2 )))/0.2+1)*$N$5,"""")"),"")</f>
        <v/>
      </c>
      <c r="I97" s="16" t="str">
        <f t="shared" ca="1" si="10"/>
        <v/>
      </c>
      <c r="J97" s="16" t="str">
        <f t="shared" si="11"/>
        <v/>
      </c>
      <c r="K97" s="16" t="str">
        <f t="shared" si="12"/>
        <v/>
      </c>
      <c r="L97" s="16"/>
    </row>
    <row r="98" spans="1:12" ht="14.5" x14ac:dyDescent="0.35">
      <c r="A98" s="16"/>
      <c r="B98" s="16"/>
      <c r="C98" s="16"/>
      <c r="D98" s="16"/>
      <c r="E98" s="22" t="str">
        <f ca="1">IFERROR(__xludf.dummyfunction("iferror(1000+INT(($N$2-(index(split(D98,"":""),1)*60+index(split(D98,"":""),2 )))/0.2+1)*$N$3,"""")"),"")</f>
        <v/>
      </c>
      <c r="F98" s="16" t="str">
        <f t="shared" ref="F98:F129" ca="1" si="13">IFERROR(_xlfn.RANK.EQ(E98,E:E),"")</f>
        <v/>
      </c>
      <c r="G98" s="16"/>
      <c r="H98" s="22" t="str">
        <f ca="1">IFERROR(__xludf.dummyfunction("iferror(1000+INT(($N$4-(index(split(G98,"":""),1)*60+index(split(G98,"":""),2 )))/0.2+1)*$N$5,"""")"),"")</f>
        <v/>
      </c>
      <c r="I98" s="16" t="str">
        <f t="shared" ref="I98:I129" ca="1" si="14">IFERROR(_xlfn.RANK.EQ(H98,H:H),"")</f>
        <v/>
      </c>
      <c r="J98" s="16" t="str">
        <f t="shared" si="11"/>
        <v/>
      </c>
      <c r="K98" s="16" t="str">
        <f t="shared" ref="K98:K129" si="15">IFERROR(_xlfn.RANK.EQ(J98,J:J),"")</f>
        <v/>
      </c>
      <c r="L98" s="16"/>
    </row>
    <row r="99" spans="1:12" ht="14.5" x14ac:dyDescent="0.35">
      <c r="A99" s="16"/>
      <c r="B99" s="16"/>
      <c r="C99" s="16"/>
      <c r="D99" s="16"/>
      <c r="E99" s="22" t="str">
        <f ca="1">IFERROR(__xludf.dummyfunction("iferror(1000+INT(($N$2-(index(split(D99,"":""),1)*60+index(split(D99,"":""),2 )))/0.2+1)*$N$3,"""")"),"")</f>
        <v/>
      </c>
      <c r="F99" s="16" t="str">
        <f t="shared" ca="1" si="13"/>
        <v/>
      </c>
      <c r="G99" s="16"/>
      <c r="H99" s="22" t="str">
        <f ca="1">IFERROR(__xludf.dummyfunction("iferror(1000+INT(($N$4-(index(split(G99,"":""),1)*60+index(split(G99,"":""),2 )))/0.2+1)*$N$5,"""")"),"")</f>
        <v/>
      </c>
      <c r="I99" s="16" t="str">
        <f t="shared" ca="1" si="14"/>
        <v/>
      </c>
      <c r="J99" s="16" t="str">
        <f t="shared" si="11"/>
        <v/>
      </c>
      <c r="K99" s="16" t="str">
        <f t="shared" si="15"/>
        <v/>
      </c>
      <c r="L99" s="16"/>
    </row>
    <row r="100" spans="1:12" ht="14.5" x14ac:dyDescent="0.35">
      <c r="A100" s="16"/>
      <c r="B100" s="16"/>
      <c r="C100" s="16"/>
      <c r="D100" s="16"/>
      <c r="E100" s="22" t="str">
        <f ca="1">IFERROR(__xludf.dummyfunction("iferror(1000+INT(($N$2-(index(split(D100,"":""),1)*60+index(split(D100,"":""),2 )))/0.2+1)*$N$3,"""")"),"")</f>
        <v/>
      </c>
      <c r="F100" s="16" t="str">
        <f t="shared" ca="1" si="13"/>
        <v/>
      </c>
      <c r="G100" s="16"/>
      <c r="H100" s="22" t="str">
        <f ca="1">IFERROR(__xludf.dummyfunction("iferror(1000+INT(($N$4-(index(split(G100,"":""),1)*60+index(split(G100,"":""),2 )))/0.2+1)*$N$5,"""")"),"")</f>
        <v/>
      </c>
      <c r="I100" s="16" t="str">
        <f t="shared" ca="1" si="14"/>
        <v/>
      </c>
      <c r="J100" s="16" t="str">
        <f t="shared" si="11"/>
        <v/>
      </c>
      <c r="K100" s="16" t="str">
        <f t="shared" si="15"/>
        <v/>
      </c>
      <c r="L100" s="16"/>
    </row>
    <row r="101" spans="1:12" ht="14.5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4.5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4.5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4.5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4.5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4.5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4.5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4.5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4.5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4.5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4.5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4.5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4.5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4.5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4.5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4.5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4.5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4.5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4.5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4.5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4.5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4.5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4.5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4.5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4.5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4.5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4.5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4.5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4.5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4.5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4.5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4.5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4.5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4.5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4.5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4.5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4.5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4.5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4.5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4.5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4.5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4.5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4.5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4.5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4.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4.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4.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4.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4.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4.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4.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4.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4.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4.5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4.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4.5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4.5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4.5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4.5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4.5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4.5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4.5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ht="14.5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4.5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ht="14.5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ht="14.5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4.5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4.5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5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4.5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4.5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4.5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4.5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4.5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4.5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4.5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4.5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4.5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4.5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4.5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4.5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4.5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4.5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4.5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4.5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4.5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4.5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4.5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4.5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4.5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4.5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4.5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4.5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4.5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4.5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4.5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4.5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4.5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4.5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4.5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4.5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4.5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4.5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4.5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4.5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4.5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4.5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4.5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4.5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4.5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4.5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4.5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4.5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4.5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4.5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4.5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4.5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4.5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4.5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4.5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4.5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4.5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4.5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4.5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4.5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4.5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4.5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4.5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4.5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4.5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4.5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4.5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4.5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5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4.5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4.5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4.5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4.5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4.5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4.5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4.5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4.5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4.5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4.5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4.5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4.5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4.5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4.5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4.5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4.5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4.5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4.5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4.5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4.5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4.5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4.5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4.5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4.5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4.5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4.5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4.5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4.5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4.5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4.5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4.5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4.5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4.5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4.5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4.5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4.5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4.5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4.5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4.5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4.5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4.5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4.5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4.5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4.5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4.5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4.5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4.5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4.5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4.5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4.5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4.5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4.5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4.5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4.5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4.5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4.5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4.5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4.5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4.5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4.5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4.5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4.5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4.5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4.5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4.5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4.5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4.5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4.5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4.5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4.5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4.5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4.5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4.5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4.5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4.5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4.5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4.5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4.5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4.5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4.5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4.5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4.5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4.5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4.5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4.5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4.5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4.5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4.5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4.5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4.5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4.5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4.5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4.5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4.5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4.5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4.5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4.5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4.5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4.5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4.5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4.5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4.5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4.5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4.5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4.5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4.5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4.5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4.5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4.5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4.5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4.5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4.5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4.5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4.5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4.5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4.5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4.5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4.5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4.5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4.5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4.5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4.5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4.5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4.5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4.5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4.5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4.5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4.5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4.5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4.5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4.5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4.5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4.5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4.5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4.5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4.5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4.5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4.5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4.5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4.5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4.5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4.5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4.5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4.5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4.5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ht="14.5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ht="14.5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ht="14.5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ht="14.5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ht="14.5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ht="14.5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ht="14.5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ht="14.5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ht="14.5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ht="14.5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ht="14.5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ht="14.5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ht="14.5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ht="14.5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ht="14.5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ht="14.5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ht="14.5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ht="14.5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ht="14.5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ht="14.5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ht="14.5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ht="14.5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ht="14.5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ht="14.5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ht="14.5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ht="14.5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ht="14.5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ht="14.5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ht="14.5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ht="14.5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ht="14.5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ht="14.5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ht="14.5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ht="14.5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ht="14.5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ht="14.5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ht="14.5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ht="14.5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ht="14.5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ht="14.5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ht="14.5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ht="14.5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ht="14.5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ht="14.5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ht="14.5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ht="14.5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ht="14.5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ht="14.5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ht="14.5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ht="14.5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ht="14.5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ht="14.5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ht="14.5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ht="14.5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ht="14.5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ht="14.5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ht="14.5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ht="14.5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 ht="14.5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 ht="14.5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 ht="14.5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 ht="14.5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 ht="14.5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 ht="14.5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 ht="14.5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 ht="14.5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 ht="14.5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 ht="14.5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 ht="14.5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 ht="14.5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 ht="14.5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 ht="14.5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 ht="14.5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 ht="14.5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 ht="14.5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 ht="14.5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 ht="14.5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 ht="14.5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 ht="14.5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 ht="14.5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 ht="14.5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 ht="14.5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 ht="14.5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 ht="14.5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 ht="14.5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 ht="14.5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 ht="14.5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 ht="14.5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 ht="14.5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 ht="14.5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 ht="14.5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 ht="14.5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 ht="14.5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 ht="14.5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 ht="14.5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 ht="14.5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 ht="14.5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 ht="14.5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 ht="14.5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 ht="14.5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 ht="14.5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 ht="14.5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 ht="14.5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 ht="14.5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 ht="14.5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 ht="14.5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 ht="14.5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 ht="14.5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 ht="14.5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 ht="14.5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 ht="14.5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 ht="14.5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 ht="14.5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 ht="14.5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 ht="14.5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 ht="14.5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 ht="14.5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 ht="14.5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 ht="14.5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 ht="14.5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 ht="14.5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 ht="14.5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 ht="14.5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 ht="14.5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 ht="14.5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 ht="14.5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 ht="14.5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 ht="14.5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 ht="14.5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 ht="14.5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 ht="14.5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 ht="14.5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 ht="14.5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 ht="14.5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 ht="14.5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 ht="14.5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 ht="14.5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 ht="14.5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 ht="14.5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 ht="14.5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 ht="14.5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ht="14.5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ht="14.5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ht="14.5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ht="14.5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ht="14.5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ht="14.5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ht="14.5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ht="14.5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 ht="14.5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 ht="14.5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 ht="14.5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 ht="14.5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 ht="14.5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 ht="14.5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 ht="14.5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 ht="14.5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 ht="14.5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 ht="14.5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 ht="14.5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 ht="14.5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 ht="14.5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 ht="14.5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 ht="14.5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 ht="14.5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 ht="14.5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 ht="14.5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 ht="14.5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 ht="14.5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 ht="14.5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 ht="14.5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 ht="14.5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 ht="14.5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 ht="14.5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 ht="14.5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 ht="14.5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 ht="14.5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 ht="14.5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 ht="14.5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 ht="14.5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 ht="14.5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 ht="14.5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 ht="14.5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 ht="14.5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 ht="14.5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 ht="14.5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 ht="14.5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 ht="14.5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 ht="14.5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 ht="14.5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 ht="14.5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 ht="14.5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 ht="14.5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 ht="14.5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 ht="14.5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 ht="14.5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 ht="14.5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 ht="14.5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 ht="14.5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 ht="14.5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 ht="14.5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 ht="14.5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 ht="14.5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 ht="14.5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 ht="14.5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 ht="14.5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 ht="14.5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 ht="14.5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 ht="14.5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 ht="14.5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 ht="14.5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 ht="14.5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 ht="14.5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 ht="14.5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 ht="14.5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 ht="14.5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 ht="14.5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 ht="14.5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 ht="14.5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 ht="14.5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 ht="14.5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 ht="14.5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 ht="14.5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 ht="14.5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 ht="14.5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 ht="14.5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 ht="14.5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 ht="14.5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 ht="14.5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 ht="14.5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 ht="14.5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 ht="14.5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 ht="14.5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 ht="14.5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 ht="14.5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 ht="14.5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 ht="14.5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 ht="14.5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 ht="14.5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 ht="14.5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 ht="14.5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 ht="14.5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 ht="14.5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 ht="14.5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 ht="14.5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 ht="14.5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 ht="14.5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 ht="14.5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 ht="14.5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 ht="14.5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 ht="14.5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 ht="14.5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 ht="14.5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 ht="14.5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 ht="14.5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 ht="14.5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 ht="14.5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 ht="14.5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 ht="14.5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 ht="14.5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 ht="14.5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 ht="14.5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 ht="14.5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 ht="14.5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 ht="14.5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 ht="14.5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 ht="14.5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 ht="14.5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 ht="14.5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 ht="14.5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 ht="14.5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 ht="14.5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 ht="14.5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 ht="14.5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 ht="14.5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 ht="14.5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 ht="14.5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 ht="14.5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 ht="14.5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 ht="14.5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 ht="14.5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 ht="14.5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 ht="14.5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 ht="14.5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 ht="14.5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 ht="14.5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 ht="14.5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 ht="14.5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 ht="14.5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 ht="14.5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 ht="14.5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 ht="14.5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 ht="14.5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 ht="14.5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 ht="14.5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 ht="14.5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 ht="14.5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 ht="14.5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 ht="14.5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 ht="14.5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 ht="14.5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 ht="14.5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 ht="14.5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 ht="14.5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 ht="14.5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 ht="14.5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 ht="14.5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 ht="14.5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 ht="14.5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 ht="14.5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 ht="14.5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 ht="14.5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 ht="14.5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 ht="14.5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 ht="14.5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 ht="14.5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 ht="14.5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 ht="14.5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 ht="14.5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 ht="14.5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 ht="14.5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 ht="14.5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 ht="14.5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 ht="14.5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 ht="14.5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 ht="14.5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 ht="14.5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 ht="14.5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 ht="14.5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 ht="14.5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 ht="14.5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 ht="14.5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 ht="14.5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 ht="14.5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 ht="14.5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 ht="14.5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 ht="14.5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 ht="14.5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 ht="14.5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 ht="14.5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 ht="14.5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 ht="14.5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 ht="14.5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 ht="14.5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 ht="14.5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 ht="14.5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 ht="14.5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 ht="14.5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 ht="14.5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 ht="14.5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 ht="14.5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 ht="14.5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 ht="14.5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 ht="14.5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 ht="14.5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 ht="14.5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 ht="14.5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 ht="14.5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 ht="14.5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 ht="14.5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 ht="14.5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 ht="14.5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 ht="14.5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 ht="14.5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 ht="14.5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 ht="14.5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 ht="14.5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 ht="14.5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 ht="14.5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 ht="14.5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 ht="14.5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 ht="14.5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 ht="14.5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 ht="14.5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 ht="14.5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 ht="14.5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 ht="14.5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 ht="14.5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 ht="14.5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 ht="14.5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 ht="14.5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 ht="14.5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 ht="14.5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 ht="14.5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 ht="14.5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 ht="14.5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 ht="14.5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 ht="14.5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 ht="14.5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 ht="14.5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 ht="14.5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 ht="14.5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 ht="14.5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 ht="14.5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 ht="14.5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 ht="14.5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 ht="14.5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 ht="14.5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 ht="14.5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 ht="14.5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 ht="14.5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 ht="14.5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 ht="14.5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 ht="14.5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 ht="14.5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 ht="14.5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 ht="14.5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 ht="14.5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 ht="14.5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 ht="14.5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 ht="14.5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 ht="14.5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 ht="14.5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 ht="14.5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 ht="14.5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 ht="14.5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 ht="14.5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 ht="14.5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 ht="14.5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 ht="14.5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 ht="14.5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 ht="14.5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 ht="14.5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 ht="14.5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 ht="14.5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 ht="14.5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 ht="14.5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 ht="14.5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 ht="14.5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 ht="14.5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 ht="14.5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 ht="14.5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 ht="14.5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 ht="14.5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 ht="14.5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 ht="14.5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 ht="14.5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 ht="14.5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 ht="14.5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 ht="14.5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 ht="14.5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 ht="14.5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 ht="14.5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 ht="14.5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 ht="14.5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 ht="14.5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 ht="14.5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 ht="14.5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 ht="14.5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 ht="14.5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 ht="14.5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 ht="14.5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 ht="14.5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 ht="14.5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 ht="14.5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 ht="14.5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 ht="14.5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 ht="14.5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 ht="14.5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 ht="14.5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 ht="14.5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 ht="14.5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 ht="14.5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 ht="14.5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 ht="14.5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 ht="14.5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 ht="14.5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 ht="14.5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 ht="14.5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 ht="14.5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 ht="14.5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 ht="14.5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 ht="14.5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 ht="14.5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 ht="14.5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 ht="14.5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 ht="14.5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 ht="14.5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 ht="14.5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 ht="14.5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 ht="14.5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 ht="14.5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 ht="14.5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 ht="14.5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 ht="14.5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 ht="14.5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 ht="14.5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 ht="14.5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 ht="14.5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 ht="14.5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 ht="14.5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 ht="14.5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 ht="14.5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 ht="14.5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 ht="14.5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 ht="14.5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 ht="14.5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 ht="14.5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 ht="14.5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 ht="14.5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 ht="14.5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 ht="14.5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 ht="14.5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 ht="14.5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 ht="14.5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 ht="14.5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 ht="14.5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 ht="14.5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 ht="14.5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 ht="14.5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 ht="14.5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 ht="14.5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 ht="14.5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 ht="14.5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 ht="14.5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 ht="14.5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 ht="14.5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 ht="14.5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 ht="14.5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 ht="14.5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 ht="14.5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 ht="14.5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 ht="14.5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 ht="14.5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 ht="14.5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 ht="14.5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 ht="14.5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 ht="14.5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 ht="14.5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 ht="14.5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 ht="14.5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 ht="14.5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 ht="14.5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 ht="14.5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 ht="14.5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 ht="14.5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 ht="14.5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 ht="14.5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 ht="14.5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 ht="14.5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 ht="14.5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 ht="14.5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 ht="14.5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 ht="14.5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 ht="14.5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 ht="14.5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</sheetData>
  <sortState xmlns:xlrd2="http://schemas.microsoft.com/office/spreadsheetml/2017/richdata2" ref="A2:L5">
    <sortCondition ref="K2:K5"/>
  </sortState>
  <printOptions horizontalCentered="1" gridLines="1"/>
  <pageMargins left="0.7" right="0.7" top="1.1437499999999998" bottom="1.1437499999999998" header="0.75" footer="0.75"/>
  <pageSetup paperSize="0" fitToWidth="0" fitToHeight="0" pageOrder="overThenDown" orientation="landscape" horizontalDpi="0" verticalDpi="0" copies="0"/>
  <headerFooter alignWithMargins="0"/>
  <ignoredErrors>
    <ignoredError sqref="J2:J30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'Scoring tables'!$A$2:$A$57</xm:f>
          </x14:formula1>
          <xm:sqref>L1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workbookViewId="0">
      <selection activeCell="M11" sqref="M11"/>
    </sheetView>
  </sheetViews>
  <sheetFormatPr defaultRowHeight="15.75" customHeight="1" x14ac:dyDescent="0.35"/>
  <cols>
    <col min="1" max="1" width="10.4140625" style="25" customWidth="1"/>
    <col min="2" max="2" width="23.58203125" style="25" customWidth="1"/>
    <col min="3" max="3" width="22.4140625" style="25" customWidth="1"/>
    <col min="4" max="11" width="8.4140625" style="25" customWidth="1"/>
    <col min="12" max="1024" width="11.6640625" style="25" customWidth="1"/>
    <col min="1025" max="16384" width="8.6640625" style="25"/>
  </cols>
  <sheetData>
    <row r="1" spans="1:14" ht="30.75" customHeight="1" x14ac:dyDescent="0.35">
      <c r="A1" s="20" t="s">
        <v>0</v>
      </c>
      <c r="B1" s="20" t="s">
        <v>26</v>
      </c>
      <c r="C1" s="20" t="s">
        <v>27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20</v>
      </c>
    </row>
    <row r="2" spans="1:14" ht="14.5" x14ac:dyDescent="0.35">
      <c r="A2" s="16">
        <f ca="1">IFERROR(__xludf.dummyfunction("Query(Entries!$A$2:$U$1205,""select A,C,D where B = '""&amp;L1&amp;""'"")"),172)</f>
        <v>172</v>
      </c>
      <c r="B2" s="5" t="str">
        <f ca="1">IFERROR(__xludf.dummyfunction("""COMPUTED_VALUE"""),"Zara Britton")</f>
        <v>Zara Britton</v>
      </c>
      <c r="C2" s="5" t="str">
        <f ca="1">IFERROR(__xludf.dummyfunction("""COMPUTED_VALUE"""),"Ripley St Thomas CE Academy")</f>
        <v>Ripley St Thomas CE Academy</v>
      </c>
      <c r="D2" s="16" t="s">
        <v>317</v>
      </c>
      <c r="E2" s="22">
        <f ca="1">IFERROR(__xludf.dummyfunction("iferror(1000+INT(($N$2-(index(split(D2,"":""),1)*60+index(split(D2,"":""),2 )))/0.2+1)*$N$3,"""")"),948)</f>
        <v>948</v>
      </c>
      <c r="F2" s="16">
        <f t="shared" ref="F2:F33" ca="1" si="0">IFERROR(_xlfn.RANK.EQ(E2,E:E),"")</f>
        <v>1</v>
      </c>
      <c r="G2" s="22" t="s">
        <v>318</v>
      </c>
      <c r="H2" s="22">
        <f ca="1">IFERROR(__xludf.dummyfunction("iferror(1000+INT(($N$4-(index(split(G2,"":""),1)*60+index(split(G2,"":""),2 )))/0.2+1)*$N$5,"""")"),558)</f>
        <v>558</v>
      </c>
      <c r="I2" s="16">
        <f t="shared" ref="I2:I33" ca="1" si="1">IFERROR(_xlfn.RANK.EQ(H2,H:H),"")</f>
        <v>1</v>
      </c>
      <c r="J2" s="22">
        <f t="shared" ref="J2:J33" ca="1" si="2">IF(AND(D2="", G2=""), "", E2+H2)</f>
        <v>1506</v>
      </c>
      <c r="K2" s="16">
        <f t="shared" ref="K2:K33" ca="1" si="3">IFERROR(_xlfn.RANK.EQ(J2,J:J),"")</f>
        <v>1</v>
      </c>
      <c r="L2" s="16"/>
      <c r="M2" s="21" t="s">
        <v>38</v>
      </c>
      <c r="N2" s="26">
        <f>VLOOKUP($L$1,'Scoring tables'!$A$2:$K$57,10,0)</f>
        <v>150</v>
      </c>
    </row>
    <row r="3" spans="1:14" ht="14.5" x14ac:dyDescent="0.35">
      <c r="A3" s="16"/>
      <c r="B3" s="16"/>
      <c r="C3" s="16"/>
      <c r="D3" s="16"/>
      <c r="E3" s="22" t="str">
        <f ca="1">IFERROR(__xludf.dummyfunction("iferror(1000+INT(($N$2-(index(split(D3,"":""),1)*60+index(split(D3,"":""),2 )))/0.2+1)*$N$3,"""")"),"")</f>
        <v/>
      </c>
      <c r="F3" s="16" t="str">
        <f t="shared" ca="1" si="0"/>
        <v/>
      </c>
      <c r="G3" s="16"/>
      <c r="H3" s="22" t="str">
        <f ca="1">IFERROR(__xludf.dummyfunction("iferror(1000+INT(($N$4-(index(split(G3,"":""),1)*60+index(split(G3,"":""),2 )))/0.2+1)*$N$5,"""")"),"")</f>
        <v/>
      </c>
      <c r="I3" s="16" t="str">
        <f t="shared" ca="1" si="1"/>
        <v/>
      </c>
      <c r="J3" s="22" t="str">
        <f t="shared" si="2"/>
        <v/>
      </c>
      <c r="K3" s="16" t="str">
        <f t="shared" si="3"/>
        <v/>
      </c>
      <c r="L3" s="16"/>
      <c r="M3" s="21" t="s">
        <v>39</v>
      </c>
      <c r="N3" s="26">
        <f>VLOOKUP($L$1,'Scoring tables'!$A$2:$K$57,11,0)</f>
        <v>2</v>
      </c>
    </row>
    <row r="4" spans="1:14" ht="14.5" x14ac:dyDescent="0.35">
      <c r="A4" s="16"/>
      <c r="B4" s="16"/>
      <c r="C4" s="16"/>
      <c r="D4" s="16"/>
      <c r="E4" s="22" t="str">
        <f ca="1">IFERROR(__xludf.dummyfunction("iferror(1000+INT(($N$2-(index(split(D4,"":""),1)*60+index(split(D4,"":""),2 )))/0.2+1)*$N$3,"""")"),"")</f>
        <v/>
      </c>
      <c r="F4" s="16" t="str">
        <f t="shared" ca="1" si="0"/>
        <v/>
      </c>
      <c r="G4" s="16"/>
      <c r="H4" s="22" t="str">
        <f ca="1">IFERROR(__xludf.dummyfunction("iferror(1000+INT(($N$4-(index(split(G4,"":""),1)*60+index(split(G4,"":""),2 )))/0.2+1)*$N$5,"""")"),"")</f>
        <v/>
      </c>
      <c r="I4" s="16" t="str">
        <f t="shared" ca="1" si="1"/>
        <v/>
      </c>
      <c r="J4" s="22" t="str">
        <f t="shared" si="2"/>
        <v/>
      </c>
      <c r="K4" s="16" t="str">
        <f t="shared" si="3"/>
        <v/>
      </c>
      <c r="L4" s="16"/>
      <c r="M4" s="21" t="s">
        <v>31</v>
      </c>
      <c r="N4" s="26">
        <f>VLOOKUP($L$1,'Scoring tables'!$A$2:$K$57,5,0)</f>
        <v>375</v>
      </c>
    </row>
    <row r="5" spans="1:14" ht="14.5" x14ac:dyDescent="0.35">
      <c r="A5" s="16"/>
      <c r="B5" s="16"/>
      <c r="C5" s="16"/>
      <c r="D5" s="16"/>
      <c r="E5" s="22" t="str">
        <f ca="1">IFERROR(__xludf.dummyfunction("iferror(1000+INT(($N$2-(index(split(D5,"":""),1)*60+index(split(D5,"":""),2 )))/0.2+1)*$N$3,"""")"),"")</f>
        <v/>
      </c>
      <c r="F5" s="16" t="str">
        <f t="shared" ca="1" si="0"/>
        <v/>
      </c>
      <c r="G5" s="16"/>
      <c r="H5" s="22" t="str">
        <f ca="1">IFERROR(__xludf.dummyfunction("iferror(1000+INT(($N$4-(index(split(G5,"":""),1)*60+index(split(G5,"":""),2 )))/0.2+1)*$N$5,"""")"),"")</f>
        <v/>
      </c>
      <c r="I5" s="16" t="str">
        <f t="shared" ca="1" si="1"/>
        <v/>
      </c>
      <c r="J5" s="22" t="str">
        <f t="shared" si="2"/>
        <v/>
      </c>
      <c r="K5" s="16" t="str">
        <f t="shared" si="3"/>
        <v/>
      </c>
      <c r="L5" s="16"/>
      <c r="M5" s="21" t="s">
        <v>32</v>
      </c>
      <c r="N5" s="26">
        <f>VLOOKUP($L$1,'Scoring tables'!$A$2:$K$57,6,0)</f>
        <v>1</v>
      </c>
    </row>
    <row r="6" spans="1:14" ht="14.5" x14ac:dyDescent="0.35">
      <c r="A6" s="16"/>
      <c r="B6" s="16"/>
      <c r="C6" s="16"/>
      <c r="D6" s="16"/>
      <c r="E6" s="22" t="str">
        <f ca="1">IFERROR(__xludf.dummyfunction("iferror(1000+INT(($N$2-(index(split(D6,"":""),1)*60+index(split(D6,"":""),2 )))/0.2+1)*$N$3,"""")"),"")</f>
        <v/>
      </c>
      <c r="F6" s="16" t="str">
        <f t="shared" ca="1" si="0"/>
        <v/>
      </c>
      <c r="G6" s="16"/>
      <c r="H6" s="22" t="str">
        <f ca="1">IFERROR(__xludf.dummyfunction("iferror(1000+INT(($N$4-(index(split(G6,"":""),1)*60+index(split(G6,"":""),2 )))/0.2+1)*$N$5,"""")"),"")</f>
        <v/>
      </c>
      <c r="I6" s="16" t="str">
        <f t="shared" ca="1" si="1"/>
        <v/>
      </c>
      <c r="J6" s="22" t="str">
        <f t="shared" si="2"/>
        <v/>
      </c>
      <c r="K6" s="16" t="str">
        <f t="shared" si="3"/>
        <v/>
      </c>
      <c r="L6" s="16"/>
    </row>
    <row r="7" spans="1:14" ht="14.5" x14ac:dyDescent="0.35">
      <c r="A7" s="16"/>
      <c r="B7" s="16"/>
      <c r="C7" s="16"/>
      <c r="D7" s="16"/>
      <c r="E7" s="22" t="str">
        <f ca="1">IFERROR(__xludf.dummyfunction("iferror(1000+INT(($N$2-(index(split(D7,"":""),1)*60+index(split(D7,"":""),2 )))/0.2+1)*$N$3,"""")"),"")</f>
        <v/>
      </c>
      <c r="F7" s="16" t="str">
        <f t="shared" ca="1" si="0"/>
        <v/>
      </c>
      <c r="G7" s="16"/>
      <c r="H7" s="22" t="str">
        <f ca="1">IFERROR(__xludf.dummyfunction("iferror(1000+INT(($N$4-(index(split(G7,"":""),1)*60+index(split(G7,"":""),2 )))/0.2+1)*$N$5,"""")"),"")</f>
        <v/>
      </c>
      <c r="I7" s="16" t="str">
        <f t="shared" ca="1" si="1"/>
        <v/>
      </c>
      <c r="J7" s="22" t="str">
        <f t="shared" si="2"/>
        <v/>
      </c>
      <c r="K7" s="16" t="str">
        <f t="shared" si="3"/>
        <v/>
      </c>
      <c r="L7" s="16"/>
    </row>
    <row r="8" spans="1:14" ht="14.5" x14ac:dyDescent="0.35">
      <c r="A8" s="16"/>
      <c r="B8" s="16"/>
      <c r="C8" s="16"/>
      <c r="D8" s="23"/>
      <c r="E8" s="22" t="str">
        <f ca="1">IFERROR(__xludf.dummyfunction("iferror(1000+INT(($N$2-(index(split(D8,"":""),1)*60+index(split(D8,"":""),2 )))/0.2+1)*$N$3,"""")"),"")</f>
        <v/>
      </c>
      <c r="F8" s="16" t="str">
        <f t="shared" ca="1" si="0"/>
        <v/>
      </c>
      <c r="G8" s="16"/>
      <c r="H8" s="22" t="str">
        <f ca="1">IFERROR(__xludf.dummyfunction("iferror(1000+INT(($N$4-(index(split(G8,"":""),1)*60+index(split(G8,"":""),2 )))/0.2+1)*$N$5,"""")"),"")</f>
        <v/>
      </c>
      <c r="I8" s="16" t="str">
        <f t="shared" ca="1" si="1"/>
        <v/>
      </c>
      <c r="J8" s="22" t="str">
        <f t="shared" si="2"/>
        <v/>
      </c>
      <c r="K8" s="16" t="str">
        <f t="shared" si="3"/>
        <v/>
      </c>
      <c r="L8" s="16"/>
    </row>
    <row r="9" spans="1:14" ht="14.5" x14ac:dyDescent="0.35">
      <c r="A9" s="16"/>
      <c r="B9" s="16"/>
      <c r="C9" s="16"/>
      <c r="D9" s="16"/>
      <c r="E9" s="22" t="str">
        <f ca="1">IFERROR(__xludf.dummyfunction("iferror(1000+INT(($N$2-(index(split(D9,"":""),1)*60+index(split(D9,"":""),2 )))/0.2+1)*$N$3,"""")"),"")</f>
        <v/>
      </c>
      <c r="F9" s="16" t="str">
        <f t="shared" ca="1" si="0"/>
        <v/>
      </c>
      <c r="G9" s="16"/>
      <c r="H9" s="22" t="str">
        <f ca="1">IFERROR(__xludf.dummyfunction("iferror(1000+INT(($N$4-(index(split(G9,"":""),1)*60+index(split(G9,"":""),2 )))/0.2+1)*$N$5,"""")"),"")</f>
        <v/>
      </c>
      <c r="I9" s="16" t="str">
        <f t="shared" ca="1" si="1"/>
        <v/>
      </c>
      <c r="J9" s="22" t="str">
        <f t="shared" si="2"/>
        <v/>
      </c>
      <c r="K9" s="16" t="str">
        <f t="shared" si="3"/>
        <v/>
      </c>
      <c r="L9" s="16"/>
    </row>
    <row r="10" spans="1:14" ht="14.5" x14ac:dyDescent="0.35">
      <c r="A10" s="16"/>
      <c r="B10" s="16"/>
      <c r="C10" s="16"/>
      <c r="D10" s="16"/>
      <c r="E10" s="22" t="str">
        <f ca="1">IFERROR(__xludf.dummyfunction("iferror(1000+INT(($N$2-(index(split(D10,"":""),1)*60+index(split(D10,"":""),2 )))/0.2+1)*$N$3,"""")"),"")</f>
        <v/>
      </c>
      <c r="F10" s="16" t="str">
        <f t="shared" ca="1" si="0"/>
        <v/>
      </c>
      <c r="G10" s="16"/>
      <c r="H10" s="22" t="str">
        <f ca="1">IFERROR(__xludf.dummyfunction("iferror(1000+INT(($N$4-(index(split(G10,"":""),1)*60+index(split(G10,"":""),2 )))/0.2+1)*$N$5,"""")"),"")</f>
        <v/>
      </c>
      <c r="I10" s="16" t="str">
        <f t="shared" ca="1" si="1"/>
        <v/>
      </c>
      <c r="J10" s="22" t="str">
        <f t="shared" si="2"/>
        <v/>
      </c>
      <c r="K10" s="16" t="str">
        <f t="shared" si="3"/>
        <v/>
      </c>
      <c r="L10" s="16"/>
    </row>
    <row r="11" spans="1:14" ht="14.5" x14ac:dyDescent="0.35">
      <c r="A11" s="16"/>
      <c r="B11" s="16"/>
      <c r="C11" s="16"/>
      <c r="D11" s="16"/>
      <c r="E11" s="22" t="str">
        <f ca="1">IFERROR(__xludf.dummyfunction("iferror(1000+INT(($N$2-(index(split(D11,"":""),1)*60+index(split(D11,"":""),2 )))/0.2+1)*$N$3,"""")"),"")</f>
        <v/>
      </c>
      <c r="F11" s="16" t="str">
        <f t="shared" ca="1" si="0"/>
        <v/>
      </c>
      <c r="G11" s="16"/>
      <c r="H11" s="22" t="str">
        <f ca="1">IFERROR(__xludf.dummyfunction("iferror(1000+INT(($N$4-(index(split(G11,"":""),1)*60+index(split(G11,"":""),2 )))/0.2+1)*$N$5,"""")"),"")</f>
        <v/>
      </c>
      <c r="I11" s="16" t="str">
        <f t="shared" ca="1" si="1"/>
        <v/>
      </c>
      <c r="J11" s="22" t="str">
        <f t="shared" si="2"/>
        <v/>
      </c>
      <c r="K11" s="16" t="str">
        <f t="shared" si="3"/>
        <v/>
      </c>
      <c r="L11" s="16"/>
    </row>
    <row r="12" spans="1:14" ht="14.5" x14ac:dyDescent="0.35">
      <c r="A12" s="16"/>
      <c r="B12" s="16"/>
      <c r="C12" s="16"/>
      <c r="D12" s="16"/>
      <c r="E12" s="22" t="str">
        <f ca="1">IFERROR(__xludf.dummyfunction("iferror(1000+INT(($N$2-(index(split(D12,"":""),1)*60+index(split(D12,"":""),2 )))/0.2+1)*$N$3,"""")"),"")</f>
        <v/>
      </c>
      <c r="F12" s="16" t="str">
        <f t="shared" ca="1" si="0"/>
        <v/>
      </c>
      <c r="G12" s="16"/>
      <c r="H12" s="22" t="str">
        <f ca="1">IFERROR(__xludf.dummyfunction("iferror(1000+INT(($N$4-(index(split(G12,"":""),1)*60+index(split(G12,"":""),2 )))/0.2+1)*$N$5,"""")"),"")</f>
        <v/>
      </c>
      <c r="I12" s="16" t="str">
        <f t="shared" ca="1" si="1"/>
        <v/>
      </c>
      <c r="J12" s="22" t="str">
        <f t="shared" si="2"/>
        <v/>
      </c>
      <c r="K12" s="16" t="str">
        <f t="shared" si="3"/>
        <v/>
      </c>
      <c r="L12" s="16"/>
    </row>
    <row r="13" spans="1:14" ht="14.5" x14ac:dyDescent="0.35">
      <c r="A13" s="16"/>
      <c r="B13" s="16"/>
      <c r="C13" s="16"/>
      <c r="D13" s="16"/>
      <c r="E13" s="22" t="str">
        <f ca="1">IFERROR(__xludf.dummyfunction("iferror(1000+INT(($N$2-(index(split(D13,"":""),1)*60+index(split(D13,"":""),2 )))/0.2+1)*$N$3,"""")"),"")</f>
        <v/>
      </c>
      <c r="F13" s="16" t="str">
        <f t="shared" ca="1" si="0"/>
        <v/>
      </c>
      <c r="G13" s="16"/>
      <c r="H13" s="22" t="str">
        <f ca="1">IFERROR(__xludf.dummyfunction("iferror(1000+INT(($N$4-(index(split(G13,"":""),1)*60+index(split(G13,"":""),2 )))/0.2+1)*$N$5,"""")"),"")</f>
        <v/>
      </c>
      <c r="I13" s="16" t="str">
        <f t="shared" ca="1" si="1"/>
        <v/>
      </c>
      <c r="J13" s="22" t="str">
        <f t="shared" si="2"/>
        <v/>
      </c>
      <c r="K13" s="16" t="str">
        <f t="shared" si="3"/>
        <v/>
      </c>
      <c r="L13" s="16"/>
    </row>
    <row r="14" spans="1:14" ht="14.5" x14ac:dyDescent="0.35">
      <c r="A14" s="16"/>
      <c r="B14" s="16"/>
      <c r="C14" s="16"/>
      <c r="D14" s="16"/>
      <c r="E14" s="22" t="str">
        <f ca="1">IFERROR(__xludf.dummyfunction("iferror(1000+INT(($N$2-(index(split(D14,"":""),1)*60+index(split(D14,"":""),2 )))/0.2+1)*$N$3,"""")"),"")</f>
        <v/>
      </c>
      <c r="F14" s="16" t="str">
        <f t="shared" ca="1" si="0"/>
        <v/>
      </c>
      <c r="G14" s="16"/>
      <c r="H14" s="22" t="str">
        <f ca="1">IFERROR(__xludf.dummyfunction("iferror(1000+INT(($N$4-(index(split(G14,"":""),1)*60+index(split(G14,"":""),2 )))/0.2+1)*$N$5,"""")"),"")</f>
        <v/>
      </c>
      <c r="I14" s="16" t="str">
        <f t="shared" ca="1" si="1"/>
        <v/>
      </c>
      <c r="J14" s="22" t="str">
        <f t="shared" si="2"/>
        <v/>
      </c>
      <c r="K14" s="16" t="str">
        <f t="shared" si="3"/>
        <v/>
      </c>
      <c r="L14" s="16"/>
    </row>
    <row r="15" spans="1:14" ht="14.5" x14ac:dyDescent="0.35">
      <c r="A15" s="16"/>
      <c r="B15" s="16"/>
      <c r="C15" s="16"/>
      <c r="D15" s="16"/>
      <c r="E15" s="22" t="str">
        <f ca="1">IFERROR(__xludf.dummyfunction("iferror(1000+INT(($N$2-(index(split(D15,"":""),1)*60+index(split(D15,"":""),2 )))/0.2+1)*$N$3,"""")"),"")</f>
        <v/>
      </c>
      <c r="F15" s="16" t="str">
        <f t="shared" ca="1" si="0"/>
        <v/>
      </c>
      <c r="G15" s="16"/>
      <c r="H15" s="22" t="str">
        <f ca="1">IFERROR(__xludf.dummyfunction("iferror(1000+INT(($N$4-(index(split(G15,"":""),1)*60+index(split(G15,"":""),2 )))/0.2+1)*$N$5,"""")"),"")</f>
        <v/>
      </c>
      <c r="I15" s="16" t="str">
        <f t="shared" ca="1" si="1"/>
        <v/>
      </c>
      <c r="J15" s="22" t="str">
        <f t="shared" si="2"/>
        <v/>
      </c>
      <c r="K15" s="16" t="str">
        <f t="shared" si="3"/>
        <v/>
      </c>
      <c r="L15" s="16"/>
    </row>
    <row r="16" spans="1:14" ht="14.5" x14ac:dyDescent="0.35">
      <c r="A16" s="16"/>
      <c r="B16" s="16"/>
      <c r="C16" s="16"/>
      <c r="D16" s="16"/>
      <c r="E16" s="22" t="str">
        <f ca="1">IFERROR(__xludf.dummyfunction("iferror(1000+INT(($N$2-(index(split(D16,"":""),1)*60+index(split(D16,"":""),2 )))/0.2+1)*$N$3,"""")"),"")</f>
        <v/>
      </c>
      <c r="F16" s="16" t="str">
        <f t="shared" ca="1" si="0"/>
        <v/>
      </c>
      <c r="G16" s="16"/>
      <c r="H16" s="22" t="str">
        <f ca="1">IFERROR(__xludf.dummyfunction("iferror(1000+INT(($N$4-(index(split(G16,"":""),1)*60+index(split(G16,"":""),2 )))/0.2+1)*$N$5,"""")"),"")</f>
        <v/>
      </c>
      <c r="I16" s="16" t="str">
        <f t="shared" ca="1" si="1"/>
        <v/>
      </c>
      <c r="J16" s="22" t="str">
        <f t="shared" si="2"/>
        <v/>
      </c>
      <c r="K16" s="16" t="str">
        <f t="shared" si="3"/>
        <v/>
      </c>
      <c r="L16" s="16"/>
    </row>
    <row r="17" spans="1:12" ht="14.5" x14ac:dyDescent="0.35">
      <c r="A17" s="16"/>
      <c r="B17" s="16"/>
      <c r="C17" s="16"/>
      <c r="D17" s="16"/>
      <c r="E17" s="22" t="str">
        <f ca="1">IFERROR(__xludf.dummyfunction("iferror(1000+INT(($N$2-(index(split(D17,"":""),1)*60+index(split(D17,"":""),2 )))/0.2+1)*$N$3,"""")"),"")</f>
        <v/>
      </c>
      <c r="F17" s="16" t="str">
        <f t="shared" ca="1" si="0"/>
        <v/>
      </c>
      <c r="G17" s="16"/>
      <c r="H17" s="22" t="str">
        <f ca="1">IFERROR(__xludf.dummyfunction("iferror(1000+INT(($N$4-(index(split(G17,"":""),1)*60+index(split(G17,"":""),2 )))/0.2+1)*$N$5,"""")"),"")</f>
        <v/>
      </c>
      <c r="I17" s="16" t="str">
        <f t="shared" ca="1" si="1"/>
        <v/>
      </c>
      <c r="J17" s="22" t="str">
        <f t="shared" si="2"/>
        <v/>
      </c>
      <c r="K17" s="16" t="str">
        <f t="shared" si="3"/>
        <v/>
      </c>
      <c r="L17" s="16"/>
    </row>
    <row r="18" spans="1:12" ht="14.5" x14ac:dyDescent="0.35">
      <c r="A18" s="16"/>
      <c r="B18" s="16"/>
      <c r="C18" s="16"/>
      <c r="D18" s="16"/>
      <c r="E18" s="22" t="str">
        <f ca="1">IFERROR(__xludf.dummyfunction("iferror(1000+INT(($N$2-(index(split(D18,"":""),1)*60+index(split(D18,"":""),2 )))/0.2+1)*$N$3,"""")"),"")</f>
        <v/>
      </c>
      <c r="F18" s="16" t="str">
        <f t="shared" ca="1" si="0"/>
        <v/>
      </c>
      <c r="G18" s="16"/>
      <c r="H18" s="22" t="str">
        <f ca="1">IFERROR(__xludf.dummyfunction("iferror(1000+INT(($N$4-(index(split(G18,"":""),1)*60+index(split(G18,"":""),2 )))/0.2+1)*$N$5,"""")"),"")</f>
        <v/>
      </c>
      <c r="I18" s="16" t="str">
        <f t="shared" ca="1" si="1"/>
        <v/>
      </c>
      <c r="J18" s="22" t="str">
        <f t="shared" si="2"/>
        <v/>
      </c>
      <c r="K18" s="16" t="str">
        <f t="shared" si="3"/>
        <v/>
      </c>
      <c r="L18" s="16"/>
    </row>
    <row r="19" spans="1:12" ht="14.5" x14ac:dyDescent="0.35">
      <c r="A19" s="16"/>
      <c r="B19" s="16"/>
      <c r="C19" s="16"/>
      <c r="D19" s="16"/>
      <c r="E19" s="22" t="str">
        <f ca="1">IFERROR(__xludf.dummyfunction("iferror(1000+INT(($N$2-(index(split(D19,"":""),1)*60+index(split(D19,"":""),2 )))/0.2+1)*$N$3,"""")"),"")</f>
        <v/>
      </c>
      <c r="F19" s="16" t="str">
        <f t="shared" ca="1" si="0"/>
        <v/>
      </c>
      <c r="G19" s="16"/>
      <c r="H19" s="22" t="str">
        <f ca="1">IFERROR(__xludf.dummyfunction("iferror(1000+INT(($N$4-(index(split(G19,"":""),1)*60+index(split(G19,"":""),2 )))/0.2+1)*$N$5,"""")"),"")</f>
        <v/>
      </c>
      <c r="I19" s="16" t="str">
        <f t="shared" ca="1" si="1"/>
        <v/>
      </c>
      <c r="J19" s="22" t="str">
        <f t="shared" si="2"/>
        <v/>
      </c>
      <c r="K19" s="16" t="str">
        <f t="shared" si="3"/>
        <v/>
      </c>
      <c r="L19" s="16"/>
    </row>
    <row r="20" spans="1:12" ht="14.5" x14ac:dyDescent="0.35">
      <c r="A20" s="16"/>
      <c r="B20" s="16"/>
      <c r="C20" s="16"/>
      <c r="D20" s="16"/>
      <c r="E20" s="22" t="str">
        <f ca="1">IFERROR(__xludf.dummyfunction("iferror(1000+INT(($N$2-(index(split(D20,"":""),1)*60+index(split(D20,"":""),2 )))/0.2+1)*$N$3,"""")"),"")</f>
        <v/>
      </c>
      <c r="F20" s="16" t="str">
        <f t="shared" ca="1" si="0"/>
        <v/>
      </c>
      <c r="G20" s="16"/>
      <c r="H20" s="22" t="str">
        <f ca="1">IFERROR(__xludf.dummyfunction("iferror(1000+INT(($N$4-(index(split(G20,"":""),1)*60+index(split(G20,"":""),2 )))/0.2+1)*$N$5,"""")"),"")</f>
        <v/>
      </c>
      <c r="I20" s="16" t="str">
        <f t="shared" ca="1" si="1"/>
        <v/>
      </c>
      <c r="J20" s="22" t="str">
        <f t="shared" si="2"/>
        <v/>
      </c>
      <c r="K20" s="16" t="str">
        <f t="shared" si="3"/>
        <v/>
      </c>
      <c r="L20" s="16"/>
    </row>
    <row r="21" spans="1:12" ht="14.5" x14ac:dyDescent="0.35">
      <c r="A21" s="16"/>
      <c r="B21" s="16"/>
      <c r="C21" s="16"/>
      <c r="D21" s="16"/>
      <c r="E21" s="22" t="str">
        <f ca="1">IFERROR(__xludf.dummyfunction("iferror(1000+INT(($N$2-(index(split(D21,"":""),1)*60+index(split(D21,"":""),2 )))/0.2+1)*$N$3,"""")"),"")</f>
        <v/>
      </c>
      <c r="F21" s="16" t="str">
        <f t="shared" ca="1" si="0"/>
        <v/>
      </c>
      <c r="G21" s="16"/>
      <c r="H21" s="22" t="str">
        <f ca="1">IFERROR(__xludf.dummyfunction("iferror(1000+INT(($N$4-(index(split(G21,"":""),1)*60+index(split(G21,"":""),2 )))/0.2+1)*$N$5,"""")"),"")</f>
        <v/>
      </c>
      <c r="I21" s="16" t="str">
        <f t="shared" ca="1" si="1"/>
        <v/>
      </c>
      <c r="J21" s="22" t="str">
        <f t="shared" si="2"/>
        <v/>
      </c>
      <c r="K21" s="16" t="str">
        <f t="shared" si="3"/>
        <v/>
      </c>
      <c r="L21" s="16"/>
    </row>
    <row r="22" spans="1:12" ht="14.5" x14ac:dyDescent="0.35">
      <c r="A22" s="16"/>
      <c r="B22" s="16"/>
      <c r="C22" s="16"/>
      <c r="D22" s="16"/>
      <c r="E22" s="22" t="str">
        <f ca="1">IFERROR(__xludf.dummyfunction("iferror(1000+INT(($N$2-(index(split(D22,"":""),1)*60+index(split(D22,"":""),2 )))/0.2+1)*$N$3,"""")"),"")</f>
        <v/>
      </c>
      <c r="F22" s="16" t="str">
        <f t="shared" ca="1" si="0"/>
        <v/>
      </c>
      <c r="G22" s="16"/>
      <c r="H22" s="22" t="str">
        <f ca="1">IFERROR(__xludf.dummyfunction("iferror(1000+INT(($N$4-(index(split(G22,"":""),1)*60+index(split(G22,"":""),2 )))/0.2+1)*$N$5,"""")"),"")</f>
        <v/>
      </c>
      <c r="I22" s="16" t="str">
        <f t="shared" ca="1" si="1"/>
        <v/>
      </c>
      <c r="J22" s="22" t="str">
        <f t="shared" si="2"/>
        <v/>
      </c>
      <c r="K22" s="16" t="str">
        <f t="shared" si="3"/>
        <v/>
      </c>
      <c r="L22" s="16"/>
    </row>
    <row r="23" spans="1:12" ht="14.5" x14ac:dyDescent="0.35">
      <c r="A23" s="16"/>
      <c r="B23" s="16"/>
      <c r="C23" s="16"/>
      <c r="D23" s="16"/>
      <c r="E23" s="22" t="str">
        <f ca="1">IFERROR(__xludf.dummyfunction("iferror(1000+INT(($N$2-(index(split(D23,"":""),1)*60+index(split(D23,"":""),2 )))/0.2+1)*$N$3,"""")"),"")</f>
        <v/>
      </c>
      <c r="F23" s="16" t="str">
        <f t="shared" ca="1" si="0"/>
        <v/>
      </c>
      <c r="G23" s="16"/>
      <c r="H23" s="22" t="str">
        <f ca="1">IFERROR(__xludf.dummyfunction("iferror(1000+INT(($N$4-(index(split(G23,"":""),1)*60+index(split(G23,"":""),2 )))/0.2+1)*$N$5,"""")"),"")</f>
        <v/>
      </c>
      <c r="I23" s="16" t="str">
        <f t="shared" ca="1" si="1"/>
        <v/>
      </c>
      <c r="J23" s="22" t="str">
        <f t="shared" si="2"/>
        <v/>
      </c>
      <c r="K23" s="16" t="str">
        <f t="shared" si="3"/>
        <v/>
      </c>
      <c r="L23" s="16"/>
    </row>
    <row r="24" spans="1:12" ht="14.5" x14ac:dyDescent="0.35">
      <c r="A24" s="16"/>
      <c r="B24" s="16"/>
      <c r="C24" s="16"/>
      <c r="D24" s="16"/>
      <c r="E24" s="22" t="str">
        <f ca="1">IFERROR(__xludf.dummyfunction("iferror(1000+INT(($N$2-(index(split(D24,"":""),1)*60+index(split(D24,"":""),2 )))/0.2+1)*$N$3,"""")"),"")</f>
        <v/>
      </c>
      <c r="F24" s="16" t="str">
        <f t="shared" ca="1" si="0"/>
        <v/>
      </c>
      <c r="G24" s="16"/>
      <c r="H24" s="22" t="str">
        <f ca="1">IFERROR(__xludf.dummyfunction("iferror(1000+INT(($N$4-(index(split(G24,"":""),1)*60+index(split(G24,"":""),2 )))/0.2+1)*$N$5,"""")"),"")</f>
        <v/>
      </c>
      <c r="I24" s="16" t="str">
        <f t="shared" ca="1" si="1"/>
        <v/>
      </c>
      <c r="J24" s="16" t="str">
        <f t="shared" si="2"/>
        <v/>
      </c>
      <c r="K24" s="16" t="str">
        <f t="shared" si="3"/>
        <v/>
      </c>
      <c r="L24" s="16"/>
    </row>
    <row r="25" spans="1:12" ht="14.5" x14ac:dyDescent="0.35">
      <c r="A25" s="16"/>
      <c r="B25" s="16"/>
      <c r="C25" s="16"/>
      <c r="D25" s="16"/>
      <c r="E25" s="22" t="str">
        <f ca="1">IFERROR(__xludf.dummyfunction("iferror(1000+INT(($N$2-(index(split(D25,"":""),1)*60+index(split(D25,"":""),2 )))/0.2+1)*$N$3,"""")"),"")</f>
        <v/>
      </c>
      <c r="F25" s="16" t="str">
        <f t="shared" ca="1" si="0"/>
        <v/>
      </c>
      <c r="G25" s="16"/>
      <c r="H25" s="22" t="str">
        <f ca="1">IFERROR(__xludf.dummyfunction("iferror(1000+INT(($N$4-(index(split(G25,"":""),1)*60+index(split(G25,"":""),2 )))/0.2+1)*$N$5,"""")"),"")</f>
        <v/>
      </c>
      <c r="I25" s="16" t="str">
        <f t="shared" ca="1" si="1"/>
        <v/>
      </c>
      <c r="J25" s="16" t="str">
        <f t="shared" si="2"/>
        <v/>
      </c>
      <c r="K25" s="16" t="str">
        <f t="shared" si="3"/>
        <v/>
      </c>
      <c r="L25" s="16"/>
    </row>
    <row r="26" spans="1:12" ht="14.5" x14ac:dyDescent="0.35">
      <c r="A26" s="16"/>
      <c r="B26" s="16"/>
      <c r="C26" s="16"/>
      <c r="D26" s="16"/>
      <c r="E26" s="22" t="str">
        <f ca="1">IFERROR(__xludf.dummyfunction("iferror(1000+INT(($N$2-(index(split(D26,"":""),1)*60+index(split(D26,"":""),2 )))/0.2+1)*$N$3,"""")"),"")</f>
        <v/>
      </c>
      <c r="F26" s="16" t="str">
        <f t="shared" ca="1" si="0"/>
        <v/>
      </c>
      <c r="G26" s="16"/>
      <c r="H26" s="22" t="str">
        <f ca="1">IFERROR(__xludf.dummyfunction("iferror(1000+INT(($N$4-(index(split(G26,"":""),1)*60+index(split(G26,"":""),2 )))/0.2+1)*$N$5,"""")"),"")</f>
        <v/>
      </c>
      <c r="I26" s="16" t="str">
        <f t="shared" ca="1" si="1"/>
        <v/>
      </c>
      <c r="J26" s="16" t="str">
        <f t="shared" si="2"/>
        <v/>
      </c>
      <c r="K26" s="16" t="str">
        <f t="shared" si="3"/>
        <v/>
      </c>
      <c r="L26" s="16"/>
    </row>
    <row r="27" spans="1:12" ht="14.5" x14ac:dyDescent="0.35">
      <c r="A27" s="16"/>
      <c r="B27" s="16"/>
      <c r="C27" s="16"/>
      <c r="D27" s="16"/>
      <c r="E27" s="22" t="str">
        <f ca="1">IFERROR(__xludf.dummyfunction("iferror(1000+INT(($N$2-(index(split(D27,"":""),1)*60+index(split(D27,"":""),2 )))/0.2+1)*$N$3,"""")"),"")</f>
        <v/>
      </c>
      <c r="F27" s="16" t="str">
        <f t="shared" ca="1" si="0"/>
        <v/>
      </c>
      <c r="G27" s="16"/>
      <c r="H27" s="22" t="str">
        <f ca="1">IFERROR(__xludf.dummyfunction("iferror(1000+INT(($N$4-(index(split(G27,"":""),1)*60+index(split(G27,"":""),2 )))/0.2+1)*$N$5,"""")"),"")</f>
        <v/>
      </c>
      <c r="I27" s="16" t="str">
        <f t="shared" ca="1" si="1"/>
        <v/>
      </c>
      <c r="J27" s="16" t="str">
        <f t="shared" si="2"/>
        <v/>
      </c>
      <c r="K27" s="16" t="str">
        <f t="shared" si="3"/>
        <v/>
      </c>
      <c r="L27" s="16"/>
    </row>
    <row r="28" spans="1:12" ht="14.5" x14ac:dyDescent="0.35">
      <c r="A28" s="16"/>
      <c r="B28" s="16"/>
      <c r="C28" s="16"/>
      <c r="D28" s="16"/>
      <c r="E28" s="22" t="str">
        <f ca="1">IFERROR(__xludf.dummyfunction("iferror(1000+INT(($N$2-(index(split(D28,"":""),1)*60+index(split(D28,"":""),2 )))/0.2+1)*$N$3,"""")"),"")</f>
        <v/>
      </c>
      <c r="F28" s="16" t="str">
        <f t="shared" ca="1" si="0"/>
        <v/>
      </c>
      <c r="G28" s="16"/>
      <c r="H28" s="22" t="str">
        <f ca="1">IFERROR(__xludf.dummyfunction("iferror(1000+INT(($N$4-(index(split(G28,"":""),1)*60+index(split(G28,"":""),2 )))/0.2+1)*$N$5,"""")"),"")</f>
        <v/>
      </c>
      <c r="I28" s="16" t="str">
        <f t="shared" ca="1" si="1"/>
        <v/>
      </c>
      <c r="J28" s="16" t="str">
        <f t="shared" si="2"/>
        <v/>
      </c>
      <c r="K28" s="16" t="str">
        <f t="shared" si="3"/>
        <v/>
      </c>
      <c r="L28" s="16"/>
    </row>
    <row r="29" spans="1:12" ht="14.5" x14ac:dyDescent="0.35">
      <c r="A29" s="16"/>
      <c r="B29" s="16"/>
      <c r="C29" s="16"/>
      <c r="D29" s="16"/>
      <c r="E29" s="22" t="str">
        <f ca="1">IFERROR(__xludf.dummyfunction("iferror(1000+INT(($N$2-(index(split(D29,"":""),1)*60+index(split(D29,"":""),2 )))/0.2+1)*$N$3,"""")"),"")</f>
        <v/>
      </c>
      <c r="F29" s="16" t="str">
        <f t="shared" ca="1" si="0"/>
        <v/>
      </c>
      <c r="G29" s="16"/>
      <c r="H29" s="22" t="str">
        <f ca="1">IFERROR(__xludf.dummyfunction("iferror(1000+INT(($N$4-(index(split(G29,"":""),1)*60+index(split(G29,"":""),2 )))/0.2+1)*$N$5,"""")"),"")</f>
        <v/>
      </c>
      <c r="I29" s="16" t="str">
        <f t="shared" ca="1" si="1"/>
        <v/>
      </c>
      <c r="J29" s="16" t="str">
        <f t="shared" si="2"/>
        <v/>
      </c>
      <c r="K29" s="16" t="str">
        <f t="shared" si="3"/>
        <v/>
      </c>
      <c r="L29" s="16"/>
    </row>
    <row r="30" spans="1:12" ht="14.5" x14ac:dyDescent="0.35">
      <c r="A30" s="16"/>
      <c r="B30" s="16"/>
      <c r="C30" s="16"/>
      <c r="D30" s="16"/>
      <c r="E30" s="22" t="str">
        <f ca="1">IFERROR(__xludf.dummyfunction("iferror(1000+INT(($N$2-(index(split(D30,"":""),1)*60+index(split(D30,"":""),2 )))/0.2+1)*$N$3,"""")"),"")</f>
        <v/>
      </c>
      <c r="F30" s="16" t="str">
        <f t="shared" ca="1" si="0"/>
        <v/>
      </c>
      <c r="G30" s="16"/>
      <c r="H30" s="22" t="str">
        <f ca="1">IFERROR(__xludf.dummyfunction("iferror(1000+INT(($N$4-(index(split(G30,"":""),1)*60+index(split(G30,"":""),2 )))/0.2+1)*$N$5,"""")"),"")</f>
        <v/>
      </c>
      <c r="I30" s="16" t="str">
        <f t="shared" ca="1" si="1"/>
        <v/>
      </c>
      <c r="J30" s="16" t="str">
        <f t="shared" si="2"/>
        <v/>
      </c>
      <c r="K30" s="16" t="str">
        <f t="shared" si="3"/>
        <v/>
      </c>
      <c r="L30" s="16"/>
    </row>
    <row r="31" spans="1:12" ht="14.5" x14ac:dyDescent="0.35">
      <c r="A31" s="16"/>
      <c r="B31" s="16"/>
      <c r="C31" s="16"/>
      <c r="D31" s="16"/>
      <c r="E31" s="22" t="str">
        <f ca="1">IFERROR(__xludf.dummyfunction("iferror(1000+INT(($N$2-(index(split(D31,"":""),1)*60+index(split(D31,"":""),2 )))/0.2+1)*$N$3,"""")"),"")</f>
        <v/>
      </c>
      <c r="F31" s="16" t="str">
        <f t="shared" ca="1" si="0"/>
        <v/>
      </c>
      <c r="G31" s="16"/>
      <c r="H31" s="22" t="str">
        <f ca="1">IFERROR(__xludf.dummyfunction("iferror(1000+INT(($N$4-(index(split(G31,"":""),1)*60+index(split(G31,"":""),2 )))/0.2+1)*$N$5,"""")"),"")</f>
        <v/>
      </c>
      <c r="I31" s="16" t="str">
        <f t="shared" ca="1" si="1"/>
        <v/>
      </c>
      <c r="J31" s="16" t="str">
        <f t="shared" si="2"/>
        <v/>
      </c>
      <c r="K31" s="16" t="str">
        <f t="shared" si="3"/>
        <v/>
      </c>
      <c r="L31" s="16"/>
    </row>
    <row r="32" spans="1:12" ht="14.5" x14ac:dyDescent="0.35">
      <c r="A32" s="16"/>
      <c r="B32" s="16"/>
      <c r="C32" s="16"/>
      <c r="D32" s="16"/>
      <c r="E32" s="22" t="str">
        <f ca="1">IFERROR(__xludf.dummyfunction("iferror(1000+INT(($N$2-(index(split(D32,"":""),1)*60+index(split(D32,"":""),2 )))/0.2+1)*$N$3,"""")"),"")</f>
        <v/>
      </c>
      <c r="F32" s="16" t="str">
        <f t="shared" ca="1" si="0"/>
        <v/>
      </c>
      <c r="G32" s="16"/>
      <c r="H32" s="22" t="str">
        <f ca="1">IFERROR(__xludf.dummyfunction("iferror(1000+INT(($N$4-(index(split(G32,"":""),1)*60+index(split(G32,"":""),2 )))/0.2+1)*$N$5,"""")"),"")</f>
        <v/>
      </c>
      <c r="I32" s="16" t="str">
        <f t="shared" ca="1" si="1"/>
        <v/>
      </c>
      <c r="J32" s="16" t="str">
        <f t="shared" si="2"/>
        <v/>
      </c>
      <c r="K32" s="16" t="str">
        <f t="shared" si="3"/>
        <v/>
      </c>
      <c r="L32" s="16"/>
    </row>
    <row r="33" spans="1:12" ht="14.5" x14ac:dyDescent="0.35">
      <c r="A33" s="16"/>
      <c r="B33" s="16"/>
      <c r="C33" s="16"/>
      <c r="D33" s="16"/>
      <c r="E33" s="22" t="str">
        <f ca="1">IFERROR(__xludf.dummyfunction("iferror(1000+INT(($N$2-(index(split(D33,"":""),1)*60+index(split(D33,"":""),2 )))/0.2+1)*$N$3,"""")"),"")</f>
        <v/>
      </c>
      <c r="F33" s="16" t="str">
        <f t="shared" ca="1" si="0"/>
        <v/>
      </c>
      <c r="G33" s="16"/>
      <c r="H33" s="22" t="str">
        <f ca="1">IFERROR(__xludf.dummyfunction("iferror(1000+INT(($N$4-(index(split(G33,"":""),1)*60+index(split(G33,"":""),2 )))/0.2+1)*$N$5,"""")"),"")</f>
        <v/>
      </c>
      <c r="I33" s="16" t="str">
        <f t="shared" ca="1" si="1"/>
        <v/>
      </c>
      <c r="J33" s="16" t="str">
        <f t="shared" si="2"/>
        <v/>
      </c>
      <c r="K33" s="16" t="str">
        <f t="shared" si="3"/>
        <v/>
      </c>
      <c r="L33" s="16"/>
    </row>
    <row r="34" spans="1:12" ht="14.5" x14ac:dyDescent="0.35">
      <c r="A34" s="16"/>
      <c r="B34" s="16"/>
      <c r="C34" s="16"/>
      <c r="D34" s="16"/>
      <c r="E34" s="22" t="str">
        <f ca="1">IFERROR(__xludf.dummyfunction("iferror(1000+INT(($N$2-(index(split(D34,"":""),1)*60+index(split(D34,"":""),2 )))/0.2+1)*$N$3,"""")"),"")</f>
        <v/>
      </c>
      <c r="F34" s="16" t="str">
        <f t="shared" ref="F34:F65" ca="1" si="4">IFERROR(_xlfn.RANK.EQ(E34,E:E),"")</f>
        <v/>
      </c>
      <c r="G34" s="16"/>
      <c r="H34" s="22" t="str">
        <f ca="1">IFERROR(__xludf.dummyfunction("iferror(1000+INT(($N$4-(index(split(G34,"":""),1)*60+index(split(G34,"":""),2 )))/0.2+1)*$N$5,"""")"),"")</f>
        <v/>
      </c>
      <c r="I34" s="16" t="str">
        <f t="shared" ref="I34:I65" ca="1" si="5">IFERROR(_xlfn.RANK.EQ(H34,H:H),"")</f>
        <v/>
      </c>
      <c r="J34" s="16" t="str">
        <f t="shared" ref="J34:J65" si="6">IF(AND(D34="", G34=""), "", E34+H34)</f>
        <v/>
      </c>
      <c r="K34" s="16" t="str">
        <f t="shared" ref="K34:K65" si="7">IFERROR(_xlfn.RANK.EQ(J34,J:J),"")</f>
        <v/>
      </c>
      <c r="L34" s="16"/>
    </row>
    <row r="35" spans="1:12" ht="14.5" x14ac:dyDescent="0.35">
      <c r="A35" s="16"/>
      <c r="B35" s="16"/>
      <c r="C35" s="16"/>
      <c r="D35" s="16"/>
      <c r="E35" s="22" t="str">
        <f ca="1">IFERROR(__xludf.dummyfunction("iferror(1000+INT(($N$2-(index(split(D35,"":""),1)*60+index(split(D35,"":""),2 )))/0.2+1)*$N$3,"""")"),"")</f>
        <v/>
      </c>
      <c r="F35" s="16" t="str">
        <f t="shared" ca="1" si="4"/>
        <v/>
      </c>
      <c r="G35" s="16"/>
      <c r="H35" s="22" t="str">
        <f ca="1">IFERROR(__xludf.dummyfunction("iferror(1000+INT(($N$4-(index(split(G35,"":""),1)*60+index(split(G35,"":""),2 )))/0.2+1)*$N$5,"""")"),"")</f>
        <v/>
      </c>
      <c r="I35" s="16" t="str">
        <f t="shared" ca="1" si="5"/>
        <v/>
      </c>
      <c r="J35" s="16" t="str">
        <f t="shared" si="6"/>
        <v/>
      </c>
      <c r="K35" s="16" t="str">
        <f t="shared" si="7"/>
        <v/>
      </c>
      <c r="L35" s="16"/>
    </row>
    <row r="36" spans="1:12" ht="14.5" x14ac:dyDescent="0.35">
      <c r="A36" s="16"/>
      <c r="B36" s="16"/>
      <c r="C36" s="16"/>
      <c r="D36" s="16"/>
      <c r="E36" s="22" t="str">
        <f ca="1">IFERROR(__xludf.dummyfunction("iferror(1000+INT(($N$2-(index(split(D36,"":""),1)*60+index(split(D36,"":""),2 )))/0.2+1)*$N$3,"""")"),"")</f>
        <v/>
      </c>
      <c r="F36" s="16" t="str">
        <f t="shared" ca="1" si="4"/>
        <v/>
      </c>
      <c r="G36" s="16"/>
      <c r="H36" s="22" t="str">
        <f ca="1">IFERROR(__xludf.dummyfunction("iferror(1000+INT(($N$4-(index(split(G36,"":""),1)*60+index(split(G36,"":""),2 )))/0.2+1)*$N$5,"""")"),"")</f>
        <v/>
      </c>
      <c r="I36" s="16" t="str">
        <f t="shared" ca="1" si="5"/>
        <v/>
      </c>
      <c r="J36" s="16" t="str">
        <f t="shared" si="6"/>
        <v/>
      </c>
      <c r="K36" s="16" t="str">
        <f t="shared" si="7"/>
        <v/>
      </c>
      <c r="L36" s="16"/>
    </row>
    <row r="37" spans="1:12" ht="14.5" x14ac:dyDescent="0.35">
      <c r="A37" s="16"/>
      <c r="B37" s="16"/>
      <c r="C37" s="16"/>
      <c r="D37" s="16"/>
      <c r="E37" s="22" t="str">
        <f ca="1">IFERROR(__xludf.dummyfunction("iferror(1000+INT(($N$2-(index(split(D37,"":""),1)*60+index(split(D37,"":""),2 )))/0.2+1)*$N$3,"""")"),"")</f>
        <v/>
      </c>
      <c r="F37" s="16" t="str">
        <f t="shared" ca="1" si="4"/>
        <v/>
      </c>
      <c r="G37" s="16"/>
      <c r="H37" s="22" t="str">
        <f ca="1">IFERROR(__xludf.dummyfunction("iferror(1000+INT(($N$4-(index(split(G37,"":""),1)*60+index(split(G37,"":""),2 )))/0.2+1)*$N$5,"""")"),"")</f>
        <v/>
      </c>
      <c r="I37" s="16" t="str">
        <f t="shared" ca="1" si="5"/>
        <v/>
      </c>
      <c r="J37" s="16" t="str">
        <f t="shared" si="6"/>
        <v/>
      </c>
      <c r="K37" s="16" t="str">
        <f t="shared" si="7"/>
        <v/>
      </c>
      <c r="L37" s="16"/>
    </row>
    <row r="38" spans="1:12" ht="14.5" x14ac:dyDescent="0.35">
      <c r="A38" s="16"/>
      <c r="B38" s="16"/>
      <c r="C38" s="16"/>
      <c r="D38" s="16"/>
      <c r="E38" s="22" t="str">
        <f ca="1">IFERROR(__xludf.dummyfunction("iferror(1000+INT(($N$2-(index(split(D38,"":""),1)*60+index(split(D38,"":""),2 )))/0.2+1)*$N$3,"""")"),"")</f>
        <v/>
      </c>
      <c r="F38" s="16" t="str">
        <f t="shared" ca="1" si="4"/>
        <v/>
      </c>
      <c r="G38" s="16"/>
      <c r="H38" s="22" t="str">
        <f ca="1">IFERROR(__xludf.dummyfunction("iferror(1000+INT(($N$4-(index(split(G38,"":""),1)*60+index(split(G38,"":""),2 )))/0.2+1)*$N$5,"""")"),"")</f>
        <v/>
      </c>
      <c r="I38" s="16" t="str">
        <f t="shared" ca="1" si="5"/>
        <v/>
      </c>
      <c r="J38" s="16" t="str">
        <f t="shared" si="6"/>
        <v/>
      </c>
      <c r="K38" s="16" t="str">
        <f t="shared" si="7"/>
        <v/>
      </c>
      <c r="L38" s="16"/>
    </row>
    <row r="39" spans="1:12" ht="14.5" x14ac:dyDescent="0.35">
      <c r="A39" s="16"/>
      <c r="B39" s="16"/>
      <c r="C39" s="16"/>
      <c r="D39" s="16"/>
      <c r="E39" s="22" t="str">
        <f ca="1">IFERROR(__xludf.dummyfunction("iferror(1000+INT(($N$2-(index(split(D39,"":""),1)*60+index(split(D39,"":""),2 )))/0.2+1)*$N$3,"""")"),"")</f>
        <v/>
      </c>
      <c r="F39" s="16" t="str">
        <f t="shared" ca="1" si="4"/>
        <v/>
      </c>
      <c r="G39" s="16"/>
      <c r="H39" s="22" t="str">
        <f ca="1">IFERROR(__xludf.dummyfunction("iferror(1000+INT(($N$4-(index(split(G39,"":""),1)*60+index(split(G39,"":""),2 )))/0.2+1)*$N$5,"""")"),"")</f>
        <v/>
      </c>
      <c r="I39" s="16" t="str">
        <f t="shared" ca="1" si="5"/>
        <v/>
      </c>
      <c r="J39" s="16" t="str">
        <f t="shared" si="6"/>
        <v/>
      </c>
      <c r="K39" s="16" t="str">
        <f t="shared" si="7"/>
        <v/>
      </c>
      <c r="L39" s="16"/>
    </row>
    <row r="40" spans="1:12" ht="14.5" x14ac:dyDescent="0.35">
      <c r="A40" s="16"/>
      <c r="B40" s="16"/>
      <c r="C40" s="16"/>
      <c r="D40" s="16"/>
      <c r="E40" s="22" t="str">
        <f ca="1">IFERROR(__xludf.dummyfunction("iferror(1000+INT(($N$2-(index(split(D40,"":""),1)*60+index(split(D40,"":""),2 )))/0.2+1)*$N$3,"""")"),"")</f>
        <v/>
      </c>
      <c r="F40" s="16" t="str">
        <f t="shared" ca="1" si="4"/>
        <v/>
      </c>
      <c r="G40" s="16"/>
      <c r="H40" s="22" t="str">
        <f ca="1">IFERROR(__xludf.dummyfunction("iferror(1000+INT(($N$4-(index(split(G40,"":""),1)*60+index(split(G40,"":""),2 )))/0.2+1)*$N$5,"""")"),"")</f>
        <v/>
      </c>
      <c r="I40" s="16" t="str">
        <f t="shared" ca="1" si="5"/>
        <v/>
      </c>
      <c r="J40" s="16" t="str">
        <f t="shared" si="6"/>
        <v/>
      </c>
      <c r="K40" s="16" t="str">
        <f t="shared" si="7"/>
        <v/>
      </c>
      <c r="L40" s="16"/>
    </row>
    <row r="41" spans="1:12" ht="14.5" x14ac:dyDescent="0.35">
      <c r="A41" s="16"/>
      <c r="B41" s="16"/>
      <c r="C41" s="16"/>
      <c r="D41" s="16"/>
      <c r="E41" s="22" t="str">
        <f ca="1">IFERROR(__xludf.dummyfunction("iferror(1000+INT(($N$2-(index(split(D41,"":""),1)*60+index(split(D41,"":""),2 )))/0.2+1)*$N$3,"""")"),"")</f>
        <v/>
      </c>
      <c r="F41" s="16" t="str">
        <f t="shared" ca="1" si="4"/>
        <v/>
      </c>
      <c r="G41" s="16"/>
      <c r="H41" s="22" t="str">
        <f ca="1">IFERROR(__xludf.dummyfunction("iferror(1000+INT(($N$4-(index(split(G41,"":""),1)*60+index(split(G41,"":""),2 )))/0.2+1)*$N$5,"""")"),"")</f>
        <v/>
      </c>
      <c r="I41" s="16" t="str">
        <f t="shared" ca="1" si="5"/>
        <v/>
      </c>
      <c r="J41" s="16" t="str">
        <f t="shared" si="6"/>
        <v/>
      </c>
      <c r="K41" s="16" t="str">
        <f t="shared" si="7"/>
        <v/>
      </c>
      <c r="L41" s="16"/>
    </row>
    <row r="42" spans="1:12" ht="14.5" x14ac:dyDescent="0.35">
      <c r="A42" s="16"/>
      <c r="B42" s="16"/>
      <c r="C42" s="16"/>
      <c r="D42" s="16"/>
      <c r="E42" s="22" t="str">
        <f ca="1">IFERROR(__xludf.dummyfunction("iferror(1000+INT(($N$2-(index(split(D42,"":""),1)*60+index(split(D42,"":""),2 )))/0.2+1)*$N$3,"""")"),"")</f>
        <v/>
      </c>
      <c r="F42" s="16" t="str">
        <f t="shared" ca="1" si="4"/>
        <v/>
      </c>
      <c r="G42" s="16"/>
      <c r="H42" s="22" t="str">
        <f ca="1">IFERROR(__xludf.dummyfunction("iferror(1000+INT(($N$4-(index(split(G42,"":""),1)*60+index(split(G42,"":""),2 )))/0.2+1)*$N$5,"""")"),"")</f>
        <v/>
      </c>
      <c r="I42" s="16" t="str">
        <f t="shared" ca="1" si="5"/>
        <v/>
      </c>
      <c r="J42" s="16" t="str">
        <f t="shared" si="6"/>
        <v/>
      </c>
      <c r="K42" s="16" t="str">
        <f t="shared" si="7"/>
        <v/>
      </c>
      <c r="L42" s="16"/>
    </row>
    <row r="43" spans="1:12" ht="14.5" x14ac:dyDescent="0.35">
      <c r="A43" s="16"/>
      <c r="B43" s="16"/>
      <c r="C43" s="16"/>
      <c r="D43" s="16"/>
      <c r="E43" s="22" t="str">
        <f ca="1">IFERROR(__xludf.dummyfunction("iferror(1000+INT(($N$2-(index(split(D43,"":""),1)*60+index(split(D43,"":""),2 )))/0.2+1)*$N$3,"""")"),"")</f>
        <v/>
      </c>
      <c r="F43" s="16" t="str">
        <f t="shared" ca="1" si="4"/>
        <v/>
      </c>
      <c r="G43" s="16"/>
      <c r="H43" s="22" t="str">
        <f ca="1">IFERROR(__xludf.dummyfunction("iferror(1000+INT(($N$4-(index(split(G43,"":""),1)*60+index(split(G43,"":""),2 )))/0.2+1)*$N$5,"""")"),"")</f>
        <v/>
      </c>
      <c r="I43" s="16" t="str">
        <f t="shared" ca="1" si="5"/>
        <v/>
      </c>
      <c r="J43" s="16" t="str">
        <f t="shared" si="6"/>
        <v/>
      </c>
      <c r="K43" s="16" t="str">
        <f t="shared" si="7"/>
        <v/>
      </c>
      <c r="L43" s="16"/>
    </row>
    <row r="44" spans="1:12" ht="14.5" x14ac:dyDescent="0.35">
      <c r="A44" s="16"/>
      <c r="B44" s="16"/>
      <c r="C44" s="16"/>
      <c r="D44" s="16"/>
      <c r="E44" s="22" t="str">
        <f ca="1">IFERROR(__xludf.dummyfunction("iferror(1000+INT(($N$2-(index(split(D44,"":""),1)*60+index(split(D44,"":""),2 )))/0.2+1)*$N$3,"""")"),"")</f>
        <v/>
      </c>
      <c r="F44" s="16" t="str">
        <f t="shared" ca="1" si="4"/>
        <v/>
      </c>
      <c r="G44" s="16"/>
      <c r="H44" s="22" t="str">
        <f ca="1">IFERROR(__xludf.dummyfunction("iferror(1000+INT(($N$4-(index(split(G44,"":""),1)*60+index(split(G44,"":""),2 )))/0.2+1)*$N$5,"""")"),"")</f>
        <v/>
      </c>
      <c r="I44" s="16" t="str">
        <f t="shared" ca="1" si="5"/>
        <v/>
      </c>
      <c r="J44" s="16" t="str">
        <f t="shared" si="6"/>
        <v/>
      </c>
      <c r="K44" s="16" t="str">
        <f t="shared" si="7"/>
        <v/>
      </c>
      <c r="L44" s="16"/>
    </row>
    <row r="45" spans="1:12" ht="14.5" x14ac:dyDescent="0.35">
      <c r="A45" s="16"/>
      <c r="B45" s="16"/>
      <c r="C45" s="16"/>
      <c r="D45" s="16"/>
      <c r="E45" s="22" t="str">
        <f ca="1">IFERROR(__xludf.dummyfunction("iferror(1000+INT(($N$2-(index(split(D45,"":""),1)*60+index(split(D45,"":""),2 )))/0.2+1)*$N$3,"""")"),"")</f>
        <v/>
      </c>
      <c r="F45" s="16" t="str">
        <f t="shared" ca="1" si="4"/>
        <v/>
      </c>
      <c r="G45" s="16"/>
      <c r="H45" s="22" t="str">
        <f ca="1">IFERROR(__xludf.dummyfunction("iferror(1000+INT(($N$4-(index(split(G45,"":""),1)*60+index(split(G45,"":""),2 )))/0.2+1)*$N$5,"""")"),"")</f>
        <v/>
      </c>
      <c r="I45" s="16" t="str">
        <f t="shared" ca="1" si="5"/>
        <v/>
      </c>
      <c r="J45" s="16" t="str">
        <f t="shared" si="6"/>
        <v/>
      </c>
      <c r="K45" s="16" t="str">
        <f t="shared" si="7"/>
        <v/>
      </c>
      <c r="L45" s="16"/>
    </row>
    <row r="46" spans="1:12" ht="14.5" x14ac:dyDescent="0.35">
      <c r="A46" s="16"/>
      <c r="B46" s="16"/>
      <c r="C46" s="16"/>
      <c r="D46" s="16"/>
      <c r="E46" s="22" t="str">
        <f ca="1">IFERROR(__xludf.dummyfunction("iferror(1000+INT(($N$2-(index(split(D46,"":""),1)*60+index(split(D46,"":""),2 )))/0.2+1)*$N$3,"""")"),"")</f>
        <v/>
      </c>
      <c r="F46" s="16" t="str">
        <f t="shared" ca="1" si="4"/>
        <v/>
      </c>
      <c r="G46" s="16"/>
      <c r="H46" s="22" t="str">
        <f ca="1">IFERROR(__xludf.dummyfunction("iferror(1000+INT(($N$4-(index(split(G46,"":""),1)*60+index(split(G46,"":""),2 )))/0.2+1)*$N$5,"""")"),"")</f>
        <v/>
      </c>
      <c r="I46" s="16" t="str">
        <f t="shared" ca="1" si="5"/>
        <v/>
      </c>
      <c r="J46" s="16" t="str">
        <f t="shared" si="6"/>
        <v/>
      </c>
      <c r="K46" s="16" t="str">
        <f t="shared" si="7"/>
        <v/>
      </c>
      <c r="L46" s="16"/>
    </row>
    <row r="47" spans="1:12" ht="14.5" x14ac:dyDescent="0.35">
      <c r="A47" s="16"/>
      <c r="B47" s="16"/>
      <c r="C47" s="16"/>
      <c r="D47" s="16"/>
      <c r="E47" s="22" t="str">
        <f ca="1">IFERROR(__xludf.dummyfunction("iferror(1000+INT(($N$2-(index(split(D47,"":""),1)*60+index(split(D47,"":""),2 )))/0.2+1)*$N$3,"""")"),"")</f>
        <v/>
      </c>
      <c r="F47" s="16" t="str">
        <f t="shared" ca="1" si="4"/>
        <v/>
      </c>
      <c r="G47" s="16"/>
      <c r="H47" s="22" t="str">
        <f ca="1">IFERROR(__xludf.dummyfunction("iferror(1000+INT(($N$4-(index(split(G47,"":""),1)*60+index(split(G47,"":""),2 )))/0.2+1)*$N$5,"""")"),"")</f>
        <v/>
      </c>
      <c r="I47" s="16" t="str">
        <f t="shared" ca="1" si="5"/>
        <v/>
      </c>
      <c r="J47" s="16" t="str">
        <f t="shared" si="6"/>
        <v/>
      </c>
      <c r="K47" s="16" t="str">
        <f t="shared" si="7"/>
        <v/>
      </c>
      <c r="L47" s="16"/>
    </row>
    <row r="48" spans="1:12" ht="14.5" x14ac:dyDescent="0.35">
      <c r="A48" s="16"/>
      <c r="B48" s="16"/>
      <c r="C48" s="16"/>
      <c r="D48" s="16"/>
      <c r="E48" s="22" t="str">
        <f ca="1">IFERROR(__xludf.dummyfunction("iferror(1000+INT(($N$2-(index(split(D48,"":""),1)*60+index(split(D48,"":""),2 )))/0.2+1)*$N$3,"""")"),"")</f>
        <v/>
      </c>
      <c r="F48" s="16" t="str">
        <f t="shared" ca="1" si="4"/>
        <v/>
      </c>
      <c r="G48" s="16"/>
      <c r="H48" s="22" t="str">
        <f ca="1">IFERROR(__xludf.dummyfunction("iferror(1000+INT(($N$4-(index(split(G48,"":""),1)*60+index(split(G48,"":""),2 )))/0.2+1)*$N$5,"""")"),"")</f>
        <v/>
      </c>
      <c r="I48" s="16" t="str">
        <f t="shared" ca="1" si="5"/>
        <v/>
      </c>
      <c r="J48" s="16" t="str">
        <f t="shared" si="6"/>
        <v/>
      </c>
      <c r="K48" s="16" t="str">
        <f t="shared" si="7"/>
        <v/>
      </c>
      <c r="L48" s="16"/>
    </row>
    <row r="49" spans="1:12" ht="14.5" x14ac:dyDescent="0.35">
      <c r="A49" s="16"/>
      <c r="B49" s="16"/>
      <c r="C49" s="16"/>
      <c r="D49" s="16"/>
      <c r="E49" s="22" t="str">
        <f ca="1">IFERROR(__xludf.dummyfunction("iferror(1000+INT(($N$2-(index(split(D49,"":""),1)*60+index(split(D49,"":""),2 )))/0.2+1)*$N$3,"""")"),"")</f>
        <v/>
      </c>
      <c r="F49" s="16" t="str">
        <f t="shared" ca="1" si="4"/>
        <v/>
      </c>
      <c r="G49" s="16"/>
      <c r="H49" s="22" t="str">
        <f ca="1">IFERROR(__xludf.dummyfunction("iferror(1000+INT(($N$4-(index(split(G49,"":""),1)*60+index(split(G49,"":""),2 )))/0.2+1)*$N$5,"""")"),"")</f>
        <v/>
      </c>
      <c r="I49" s="16" t="str">
        <f t="shared" ca="1" si="5"/>
        <v/>
      </c>
      <c r="J49" s="16" t="str">
        <f t="shared" si="6"/>
        <v/>
      </c>
      <c r="K49" s="16" t="str">
        <f t="shared" si="7"/>
        <v/>
      </c>
      <c r="L49" s="16"/>
    </row>
    <row r="50" spans="1:12" ht="14.5" x14ac:dyDescent="0.35">
      <c r="A50" s="16"/>
      <c r="B50" s="16"/>
      <c r="C50" s="16"/>
      <c r="D50" s="16"/>
      <c r="E50" s="22" t="str">
        <f ca="1">IFERROR(__xludf.dummyfunction("iferror(1000+INT(($N$2-(index(split(D50,"":""),1)*60+index(split(D50,"":""),2 )))/0.2+1)*$N$3,"""")"),"")</f>
        <v/>
      </c>
      <c r="F50" s="16" t="str">
        <f t="shared" ca="1" si="4"/>
        <v/>
      </c>
      <c r="G50" s="16"/>
      <c r="H50" s="22" t="str">
        <f ca="1">IFERROR(__xludf.dummyfunction("iferror(1000+INT(($N$4-(index(split(G50,"":""),1)*60+index(split(G50,"":""),2 )))/0.2+1)*$N$5,"""")"),"")</f>
        <v/>
      </c>
      <c r="I50" s="16" t="str">
        <f t="shared" ca="1" si="5"/>
        <v/>
      </c>
      <c r="J50" s="16" t="str">
        <f t="shared" si="6"/>
        <v/>
      </c>
      <c r="K50" s="16" t="str">
        <f t="shared" si="7"/>
        <v/>
      </c>
      <c r="L50" s="16"/>
    </row>
    <row r="51" spans="1:12" ht="14.5" x14ac:dyDescent="0.35">
      <c r="A51" s="16"/>
      <c r="B51" s="16"/>
      <c r="C51" s="16"/>
      <c r="D51" s="16"/>
      <c r="E51" s="22" t="str">
        <f ca="1">IFERROR(__xludf.dummyfunction("iferror(1000+INT(($N$2-(index(split(D51,"":""),1)*60+index(split(D51,"":""),2 )))/0.2+1)*$N$3,"""")"),"")</f>
        <v/>
      </c>
      <c r="F51" s="16" t="str">
        <f t="shared" ca="1" si="4"/>
        <v/>
      </c>
      <c r="G51" s="16"/>
      <c r="H51" s="22" t="str">
        <f ca="1">IFERROR(__xludf.dummyfunction("iferror(1000+INT(($N$4-(index(split(G51,"":""),1)*60+index(split(G51,"":""),2 )))/0.2+1)*$N$5,"""")"),"")</f>
        <v/>
      </c>
      <c r="I51" s="16" t="str">
        <f t="shared" ca="1" si="5"/>
        <v/>
      </c>
      <c r="J51" s="16" t="str">
        <f t="shared" si="6"/>
        <v/>
      </c>
      <c r="K51" s="16" t="str">
        <f t="shared" si="7"/>
        <v/>
      </c>
      <c r="L51" s="16"/>
    </row>
    <row r="52" spans="1:12" ht="14.5" x14ac:dyDescent="0.35">
      <c r="A52" s="16"/>
      <c r="B52" s="16"/>
      <c r="C52" s="16"/>
      <c r="D52" s="16"/>
      <c r="E52" s="22" t="str">
        <f ca="1">IFERROR(__xludf.dummyfunction("iferror(1000+INT(($N$2-(index(split(D52,"":""),1)*60+index(split(D52,"":""),2 )))/0.2+1)*$N$3,"""")"),"")</f>
        <v/>
      </c>
      <c r="F52" s="16" t="str">
        <f t="shared" ca="1" si="4"/>
        <v/>
      </c>
      <c r="G52" s="16"/>
      <c r="H52" s="22" t="str">
        <f ca="1">IFERROR(__xludf.dummyfunction("iferror(1000+INT(($N$4-(index(split(G52,"":""),1)*60+index(split(G52,"":""),2 )))/0.2+1)*$N$5,"""")"),"")</f>
        <v/>
      </c>
      <c r="I52" s="16" t="str">
        <f t="shared" ca="1" si="5"/>
        <v/>
      </c>
      <c r="J52" s="16" t="str">
        <f t="shared" si="6"/>
        <v/>
      </c>
      <c r="K52" s="16" t="str">
        <f t="shared" si="7"/>
        <v/>
      </c>
      <c r="L52" s="16"/>
    </row>
    <row r="53" spans="1:12" ht="14.5" x14ac:dyDescent="0.35">
      <c r="A53" s="16"/>
      <c r="B53" s="16"/>
      <c r="C53" s="16"/>
      <c r="D53" s="16"/>
      <c r="E53" s="22" t="str">
        <f ca="1">IFERROR(__xludf.dummyfunction("iferror(1000+INT(($N$2-(index(split(D53,"":""),1)*60+index(split(D53,"":""),2 )))/0.2+1)*$N$3,"""")"),"")</f>
        <v/>
      </c>
      <c r="F53" s="16" t="str">
        <f t="shared" ca="1" si="4"/>
        <v/>
      </c>
      <c r="G53" s="16"/>
      <c r="H53" s="22" t="str">
        <f ca="1">IFERROR(__xludf.dummyfunction("iferror(1000+INT(($N$4-(index(split(G53,"":""),1)*60+index(split(G53,"":""),2 )))/0.2+1)*$N$5,"""")"),"")</f>
        <v/>
      </c>
      <c r="I53" s="16" t="str">
        <f t="shared" ca="1" si="5"/>
        <v/>
      </c>
      <c r="J53" s="16" t="str">
        <f t="shared" si="6"/>
        <v/>
      </c>
      <c r="K53" s="16" t="str">
        <f t="shared" si="7"/>
        <v/>
      </c>
      <c r="L53" s="16"/>
    </row>
    <row r="54" spans="1:12" ht="14.5" x14ac:dyDescent="0.35">
      <c r="A54" s="16"/>
      <c r="B54" s="16"/>
      <c r="C54" s="16"/>
      <c r="D54" s="16"/>
      <c r="E54" s="22" t="str">
        <f ca="1">IFERROR(__xludf.dummyfunction("iferror(1000+INT(($N$2-(index(split(D54,"":""),1)*60+index(split(D54,"":""),2 )))/0.2+1)*$N$3,"""")"),"")</f>
        <v/>
      </c>
      <c r="F54" s="16" t="str">
        <f t="shared" ca="1" si="4"/>
        <v/>
      </c>
      <c r="G54" s="16"/>
      <c r="H54" s="22" t="str">
        <f ca="1">IFERROR(__xludf.dummyfunction("iferror(1000+INT(($N$4-(index(split(G54,"":""),1)*60+index(split(G54,"":""),2 )))/0.2+1)*$N$5,"""")"),"")</f>
        <v/>
      </c>
      <c r="I54" s="16" t="str">
        <f t="shared" ca="1" si="5"/>
        <v/>
      </c>
      <c r="J54" s="16" t="str">
        <f t="shared" si="6"/>
        <v/>
      </c>
      <c r="K54" s="16" t="str">
        <f t="shared" si="7"/>
        <v/>
      </c>
      <c r="L54" s="16"/>
    </row>
    <row r="55" spans="1:12" ht="14.5" x14ac:dyDescent="0.35">
      <c r="A55" s="16"/>
      <c r="B55" s="16"/>
      <c r="C55" s="16"/>
      <c r="D55" s="16"/>
      <c r="E55" s="22" t="str">
        <f ca="1">IFERROR(__xludf.dummyfunction("iferror(1000+INT(($N$2-(index(split(D55,"":""),1)*60+index(split(D55,"":""),2 )))/0.2+1)*$N$3,"""")"),"")</f>
        <v/>
      </c>
      <c r="F55" s="16" t="str">
        <f t="shared" ca="1" si="4"/>
        <v/>
      </c>
      <c r="G55" s="16"/>
      <c r="H55" s="22" t="str">
        <f ca="1">IFERROR(__xludf.dummyfunction("iferror(1000+INT(($N$4-(index(split(G55,"":""),1)*60+index(split(G55,"":""),2 )))/0.2+1)*$N$5,"""")"),"")</f>
        <v/>
      </c>
      <c r="I55" s="16" t="str">
        <f t="shared" ca="1" si="5"/>
        <v/>
      </c>
      <c r="J55" s="16" t="str">
        <f t="shared" si="6"/>
        <v/>
      </c>
      <c r="K55" s="16" t="str">
        <f t="shared" si="7"/>
        <v/>
      </c>
      <c r="L55" s="16"/>
    </row>
    <row r="56" spans="1:12" ht="14.5" x14ac:dyDescent="0.35">
      <c r="A56" s="16"/>
      <c r="B56" s="16"/>
      <c r="C56" s="16"/>
      <c r="D56" s="16"/>
      <c r="E56" s="22" t="str">
        <f ca="1">IFERROR(__xludf.dummyfunction("iferror(1000+INT(($N$2-(index(split(D56,"":""),1)*60+index(split(D56,"":""),2 )))/0.2+1)*$N$3,"""")"),"")</f>
        <v/>
      </c>
      <c r="F56" s="16" t="str">
        <f t="shared" ca="1" si="4"/>
        <v/>
      </c>
      <c r="G56" s="16"/>
      <c r="H56" s="22" t="str">
        <f ca="1">IFERROR(__xludf.dummyfunction("iferror(1000+INT(($N$4-(index(split(G56,"":""),1)*60+index(split(G56,"":""),2 )))/0.2+1)*$N$5,"""")"),"")</f>
        <v/>
      </c>
      <c r="I56" s="16" t="str">
        <f t="shared" ca="1" si="5"/>
        <v/>
      </c>
      <c r="J56" s="16" t="str">
        <f t="shared" si="6"/>
        <v/>
      </c>
      <c r="K56" s="16" t="str">
        <f t="shared" si="7"/>
        <v/>
      </c>
      <c r="L56" s="16"/>
    </row>
    <row r="57" spans="1:12" ht="14.5" x14ac:dyDescent="0.35">
      <c r="A57" s="16"/>
      <c r="B57" s="16"/>
      <c r="C57" s="16"/>
      <c r="D57" s="16"/>
      <c r="E57" s="22" t="str">
        <f ca="1">IFERROR(__xludf.dummyfunction("iferror(1000+INT(($N$2-(index(split(D57,"":""),1)*60+index(split(D57,"":""),2 )))/0.2+1)*$N$3,"""")"),"")</f>
        <v/>
      </c>
      <c r="F57" s="16" t="str">
        <f t="shared" ca="1" si="4"/>
        <v/>
      </c>
      <c r="G57" s="16"/>
      <c r="H57" s="22" t="str">
        <f ca="1">IFERROR(__xludf.dummyfunction("iferror(1000+INT(($N$4-(index(split(G57,"":""),1)*60+index(split(G57,"":""),2 )))/0.2+1)*$N$5,"""")"),"")</f>
        <v/>
      </c>
      <c r="I57" s="16" t="str">
        <f t="shared" ca="1" si="5"/>
        <v/>
      </c>
      <c r="J57" s="16" t="str">
        <f t="shared" si="6"/>
        <v/>
      </c>
      <c r="K57" s="16" t="str">
        <f t="shared" si="7"/>
        <v/>
      </c>
      <c r="L57" s="16"/>
    </row>
    <row r="58" spans="1:12" ht="14.5" x14ac:dyDescent="0.35">
      <c r="A58" s="16"/>
      <c r="B58" s="16"/>
      <c r="C58" s="16"/>
      <c r="D58" s="16"/>
      <c r="E58" s="22" t="str">
        <f ca="1">IFERROR(__xludf.dummyfunction("iferror(1000+INT(($N$2-(index(split(D58,"":""),1)*60+index(split(D58,"":""),2 )))/0.2+1)*$N$3,"""")"),"")</f>
        <v/>
      </c>
      <c r="F58" s="16" t="str">
        <f t="shared" ca="1" si="4"/>
        <v/>
      </c>
      <c r="G58" s="16"/>
      <c r="H58" s="22" t="str">
        <f ca="1">IFERROR(__xludf.dummyfunction("iferror(1000+INT(($N$4-(index(split(G58,"":""),1)*60+index(split(G58,"":""),2 )))/0.2+1)*$N$5,"""")"),"")</f>
        <v/>
      </c>
      <c r="I58" s="16" t="str">
        <f t="shared" ca="1" si="5"/>
        <v/>
      </c>
      <c r="J58" s="16" t="str">
        <f t="shared" si="6"/>
        <v/>
      </c>
      <c r="K58" s="16" t="str">
        <f t="shared" si="7"/>
        <v/>
      </c>
      <c r="L58" s="16"/>
    </row>
    <row r="59" spans="1:12" ht="14.5" x14ac:dyDescent="0.35">
      <c r="A59" s="16"/>
      <c r="B59" s="16"/>
      <c r="C59" s="16"/>
      <c r="D59" s="16"/>
      <c r="E59" s="22" t="str">
        <f ca="1">IFERROR(__xludf.dummyfunction("iferror(1000+INT(($N$2-(index(split(D59,"":""),1)*60+index(split(D59,"":""),2 )))/0.2+1)*$N$3,"""")"),"")</f>
        <v/>
      </c>
      <c r="F59" s="16" t="str">
        <f t="shared" ca="1" si="4"/>
        <v/>
      </c>
      <c r="G59" s="16"/>
      <c r="H59" s="22" t="str">
        <f ca="1">IFERROR(__xludf.dummyfunction("iferror(1000+INT(($N$4-(index(split(G59,"":""),1)*60+index(split(G59,"":""),2 )))/0.2+1)*$N$5,"""")"),"")</f>
        <v/>
      </c>
      <c r="I59" s="16" t="str">
        <f t="shared" ca="1" si="5"/>
        <v/>
      </c>
      <c r="J59" s="16" t="str">
        <f t="shared" si="6"/>
        <v/>
      </c>
      <c r="K59" s="16" t="str">
        <f t="shared" si="7"/>
        <v/>
      </c>
      <c r="L59" s="16"/>
    </row>
    <row r="60" spans="1:12" ht="14.5" x14ac:dyDescent="0.35">
      <c r="A60" s="16"/>
      <c r="B60" s="16"/>
      <c r="C60" s="16"/>
      <c r="D60" s="16"/>
      <c r="E60" s="22" t="str">
        <f ca="1">IFERROR(__xludf.dummyfunction("iferror(1000+INT(($N$2-(index(split(D60,"":""),1)*60+index(split(D60,"":""),2 )))/0.2+1)*$N$3,"""")"),"")</f>
        <v/>
      </c>
      <c r="F60" s="16" t="str">
        <f t="shared" ca="1" si="4"/>
        <v/>
      </c>
      <c r="G60" s="16"/>
      <c r="H60" s="22" t="str">
        <f ca="1">IFERROR(__xludf.dummyfunction("iferror(1000+INT(($N$4-(index(split(G60,"":""),1)*60+index(split(G60,"":""),2 )))/0.2+1)*$N$5,"""")"),"")</f>
        <v/>
      </c>
      <c r="I60" s="16" t="str">
        <f t="shared" ca="1" si="5"/>
        <v/>
      </c>
      <c r="J60" s="16" t="str">
        <f t="shared" si="6"/>
        <v/>
      </c>
      <c r="K60" s="16" t="str">
        <f t="shared" si="7"/>
        <v/>
      </c>
      <c r="L60" s="16"/>
    </row>
    <row r="61" spans="1:12" ht="14.5" x14ac:dyDescent="0.35">
      <c r="A61" s="16"/>
      <c r="B61" s="16"/>
      <c r="C61" s="16"/>
      <c r="D61" s="16"/>
      <c r="E61" s="22" t="str">
        <f ca="1">IFERROR(__xludf.dummyfunction("iferror(1000+INT(($N$2-(index(split(D61,"":""),1)*60+index(split(D61,"":""),2 )))/0.2+1)*$N$3,"""")"),"")</f>
        <v/>
      </c>
      <c r="F61" s="16" t="str">
        <f t="shared" ca="1" si="4"/>
        <v/>
      </c>
      <c r="G61" s="16"/>
      <c r="H61" s="22" t="str">
        <f ca="1">IFERROR(__xludf.dummyfunction("iferror(1000+INT(($N$4-(index(split(G61,"":""),1)*60+index(split(G61,"":""),2 )))/0.2+1)*$N$5,"""")"),"")</f>
        <v/>
      </c>
      <c r="I61" s="16" t="str">
        <f t="shared" ca="1" si="5"/>
        <v/>
      </c>
      <c r="J61" s="16" t="str">
        <f t="shared" si="6"/>
        <v/>
      </c>
      <c r="K61" s="16" t="str">
        <f t="shared" si="7"/>
        <v/>
      </c>
      <c r="L61" s="16"/>
    </row>
    <row r="62" spans="1:12" ht="14.5" x14ac:dyDescent="0.35">
      <c r="A62" s="16"/>
      <c r="B62" s="16"/>
      <c r="C62" s="16"/>
      <c r="D62" s="16"/>
      <c r="E62" s="22" t="str">
        <f ca="1">IFERROR(__xludf.dummyfunction("iferror(1000+INT(($N$2-(index(split(D62,"":""),1)*60+index(split(D62,"":""),2 )))/0.2+1)*$N$3,"""")"),"")</f>
        <v/>
      </c>
      <c r="F62" s="16" t="str">
        <f t="shared" ca="1" si="4"/>
        <v/>
      </c>
      <c r="G62" s="16"/>
      <c r="H62" s="22" t="str">
        <f ca="1">IFERROR(__xludf.dummyfunction("iferror(1000+INT(($N$4-(index(split(G62,"":""),1)*60+index(split(G62,"":""),2 )))/0.2+1)*$N$5,"""")"),"")</f>
        <v/>
      </c>
      <c r="I62" s="16" t="str">
        <f t="shared" ca="1" si="5"/>
        <v/>
      </c>
      <c r="J62" s="16" t="str">
        <f t="shared" si="6"/>
        <v/>
      </c>
      <c r="K62" s="16" t="str">
        <f t="shared" si="7"/>
        <v/>
      </c>
      <c r="L62" s="16"/>
    </row>
    <row r="63" spans="1:12" ht="14.5" x14ac:dyDescent="0.35">
      <c r="A63" s="16"/>
      <c r="B63" s="16"/>
      <c r="C63" s="16"/>
      <c r="D63" s="16"/>
      <c r="E63" s="22" t="str">
        <f ca="1">IFERROR(__xludf.dummyfunction("iferror(1000+INT(($N$2-(index(split(D63,"":""),1)*60+index(split(D63,"":""),2 )))/0.2+1)*$N$3,"""")"),"")</f>
        <v/>
      </c>
      <c r="F63" s="16" t="str">
        <f t="shared" ca="1" si="4"/>
        <v/>
      </c>
      <c r="G63" s="16"/>
      <c r="H63" s="22" t="str">
        <f ca="1">IFERROR(__xludf.dummyfunction("iferror(1000+INT(($N$4-(index(split(G63,"":""),1)*60+index(split(G63,"":""),2 )))/0.2+1)*$N$5,"""")"),"")</f>
        <v/>
      </c>
      <c r="I63" s="16" t="str">
        <f t="shared" ca="1" si="5"/>
        <v/>
      </c>
      <c r="J63" s="16" t="str">
        <f t="shared" si="6"/>
        <v/>
      </c>
      <c r="K63" s="16" t="str">
        <f t="shared" si="7"/>
        <v/>
      </c>
      <c r="L63" s="16"/>
    </row>
    <row r="64" spans="1:12" ht="14.5" x14ac:dyDescent="0.35">
      <c r="A64" s="16"/>
      <c r="B64" s="16"/>
      <c r="C64" s="16"/>
      <c r="D64" s="16"/>
      <c r="E64" s="22" t="str">
        <f ca="1">IFERROR(__xludf.dummyfunction("iferror(1000+INT(($N$2-(index(split(D64,"":""),1)*60+index(split(D64,"":""),2 )))/0.2+1)*$N$3,"""")"),"")</f>
        <v/>
      </c>
      <c r="F64" s="16" t="str">
        <f t="shared" ca="1" si="4"/>
        <v/>
      </c>
      <c r="G64" s="16"/>
      <c r="H64" s="22" t="str">
        <f ca="1">IFERROR(__xludf.dummyfunction("iferror(1000+INT(($N$4-(index(split(G64,"":""),1)*60+index(split(G64,"":""),2 )))/0.2+1)*$N$5,"""")"),"")</f>
        <v/>
      </c>
      <c r="I64" s="16" t="str">
        <f t="shared" ca="1" si="5"/>
        <v/>
      </c>
      <c r="J64" s="16" t="str">
        <f t="shared" si="6"/>
        <v/>
      </c>
      <c r="K64" s="16" t="str">
        <f t="shared" si="7"/>
        <v/>
      </c>
      <c r="L64" s="16"/>
    </row>
    <row r="65" spans="1:12" ht="14.5" x14ac:dyDescent="0.35">
      <c r="A65" s="16"/>
      <c r="B65" s="16"/>
      <c r="C65" s="16"/>
      <c r="D65" s="16"/>
      <c r="E65" s="22" t="str">
        <f ca="1">IFERROR(__xludf.dummyfunction("iferror(1000+INT(($N$2-(index(split(D65,"":""),1)*60+index(split(D65,"":""),2 )))/0.2+1)*$N$3,"""")"),"")</f>
        <v/>
      </c>
      <c r="F65" s="16" t="str">
        <f t="shared" ca="1" si="4"/>
        <v/>
      </c>
      <c r="G65" s="16"/>
      <c r="H65" s="22" t="str">
        <f ca="1">IFERROR(__xludf.dummyfunction("iferror(1000+INT(($N$4-(index(split(G65,"":""),1)*60+index(split(G65,"":""),2 )))/0.2+1)*$N$5,"""")"),"")</f>
        <v/>
      </c>
      <c r="I65" s="16" t="str">
        <f t="shared" ca="1" si="5"/>
        <v/>
      </c>
      <c r="J65" s="16" t="str">
        <f t="shared" si="6"/>
        <v/>
      </c>
      <c r="K65" s="16" t="str">
        <f t="shared" si="7"/>
        <v/>
      </c>
      <c r="L65" s="16"/>
    </row>
    <row r="66" spans="1:12" ht="14.5" x14ac:dyDescent="0.35">
      <c r="A66" s="16"/>
      <c r="B66" s="16"/>
      <c r="C66" s="16"/>
      <c r="D66" s="16"/>
      <c r="E66" s="22" t="str">
        <f ca="1">IFERROR(__xludf.dummyfunction("iferror(1000+INT(($N$2-(index(split(D66,"":""),1)*60+index(split(D66,"":""),2 )))/0.2+1)*$N$3,"""")"),"")</f>
        <v/>
      </c>
      <c r="F66" s="16" t="str">
        <f t="shared" ref="F66:F97" ca="1" si="8">IFERROR(_xlfn.RANK.EQ(E66,E:E),"")</f>
        <v/>
      </c>
      <c r="G66" s="16"/>
      <c r="H66" s="22" t="str">
        <f ca="1">IFERROR(__xludf.dummyfunction("iferror(1000+INT(($N$4-(index(split(G66,"":""),1)*60+index(split(G66,"":""),2 )))/0.2+1)*$N$5,"""")"),"")</f>
        <v/>
      </c>
      <c r="I66" s="16" t="str">
        <f t="shared" ref="I66:I97" ca="1" si="9">IFERROR(_xlfn.RANK.EQ(H66,H:H),"")</f>
        <v/>
      </c>
      <c r="J66" s="16" t="str">
        <f t="shared" ref="J66:J100" si="10">IF(AND(D66="", G66=""), "", E66+H66)</f>
        <v/>
      </c>
      <c r="K66" s="16" t="str">
        <f t="shared" ref="K66:K97" si="11">IFERROR(_xlfn.RANK.EQ(J66,J:J),"")</f>
        <v/>
      </c>
      <c r="L66" s="16"/>
    </row>
    <row r="67" spans="1:12" ht="14.5" x14ac:dyDescent="0.35">
      <c r="A67" s="16"/>
      <c r="B67" s="16"/>
      <c r="C67" s="16"/>
      <c r="D67" s="16"/>
      <c r="E67" s="22" t="str">
        <f ca="1">IFERROR(__xludf.dummyfunction("iferror(1000+INT(($N$2-(index(split(D67,"":""),1)*60+index(split(D67,"":""),2 )))/0.2+1)*$N$3,"""")"),"")</f>
        <v/>
      </c>
      <c r="F67" s="16" t="str">
        <f t="shared" ca="1" si="8"/>
        <v/>
      </c>
      <c r="G67" s="16"/>
      <c r="H67" s="22" t="str">
        <f ca="1">IFERROR(__xludf.dummyfunction("iferror(1000+INT(($N$4-(index(split(G67,"":""),1)*60+index(split(G67,"":""),2 )))/0.2+1)*$N$5,"""")"),"")</f>
        <v/>
      </c>
      <c r="I67" s="16" t="str">
        <f t="shared" ca="1" si="9"/>
        <v/>
      </c>
      <c r="J67" s="16" t="str">
        <f t="shared" si="10"/>
        <v/>
      </c>
      <c r="K67" s="16" t="str">
        <f t="shared" si="11"/>
        <v/>
      </c>
      <c r="L67" s="16"/>
    </row>
    <row r="68" spans="1:12" ht="14.5" x14ac:dyDescent="0.35">
      <c r="A68" s="16"/>
      <c r="B68" s="16"/>
      <c r="C68" s="16"/>
      <c r="D68" s="16"/>
      <c r="E68" s="22" t="str">
        <f ca="1">IFERROR(__xludf.dummyfunction("iferror(1000+INT(($N$2-(index(split(D68,"":""),1)*60+index(split(D68,"":""),2 )))/0.2+1)*$N$3,"""")"),"")</f>
        <v/>
      </c>
      <c r="F68" s="16" t="str">
        <f t="shared" ca="1" si="8"/>
        <v/>
      </c>
      <c r="G68" s="16"/>
      <c r="H68" s="22" t="str">
        <f ca="1">IFERROR(__xludf.dummyfunction("iferror(1000+INT(($N$4-(index(split(G68,"":""),1)*60+index(split(G68,"":""),2 )))/0.2+1)*$N$5,"""")"),"")</f>
        <v/>
      </c>
      <c r="I68" s="16" t="str">
        <f t="shared" ca="1" si="9"/>
        <v/>
      </c>
      <c r="J68" s="16" t="str">
        <f t="shared" si="10"/>
        <v/>
      </c>
      <c r="K68" s="16" t="str">
        <f t="shared" si="11"/>
        <v/>
      </c>
      <c r="L68" s="16"/>
    </row>
    <row r="69" spans="1:12" ht="14.5" x14ac:dyDescent="0.35">
      <c r="A69" s="16"/>
      <c r="B69" s="16"/>
      <c r="C69" s="16"/>
      <c r="D69" s="16"/>
      <c r="E69" s="22" t="str">
        <f ca="1">IFERROR(__xludf.dummyfunction("iferror(1000+INT(($N$2-(index(split(D69,"":""),1)*60+index(split(D69,"":""),2 )))/0.2+1)*$N$3,"""")"),"")</f>
        <v/>
      </c>
      <c r="F69" s="16" t="str">
        <f t="shared" ca="1" si="8"/>
        <v/>
      </c>
      <c r="G69" s="16"/>
      <c r="H69" s="22" t="str">
        <f ca="1">IFERROR(__xludf.dummyfunction("iferror(1000+INT(($N$4-(index(split(G69,"":""),1)*60+index(split(G69,"":""),2 )))/0.2+1)*$N$5,"""")"),"")</f>
        <v/>
      </c>
      <c r="I69" s="16" t="str">
        <f t="shared" ca="1" si="9"/>
        <v/>
      </c>
      <c r="J69" s="16" t="str">
        <f t="shared" si="10"/>
        <v/>
      </c>
      <c r="K69" s="16" t="str">
        <f t="shared" si="11"/>
        <v/>
      </c>
      <c r="L69" s="16"/>
    </row>
    <row r="70" spans="1:12" ht="14.5" x14ac:dyDescent="0.35">
      <c r="A70" s="16"/>
      <c r="B70" s="16"/>
      <c r="C70" s="16"/>
      <c r="D70" s="16"/>
      <c r="E70" s="22" t="str">
        <f ca="1">IFERROR(__xludf.dummyfunction("iferror(1000+INT(($N$2-(index(split(D70,"":""),1)*60+index(split(D70,"":""),2 )))/0.2+1)*$N$3,"""")"),"")</f>
        <v/>
      </c>
      <c r="F70" s="16" t="str">
        <f t="shared" ca="1" si="8"/>
        <v/>
      </c>
      <c r="G70" s="16"/>
      <c r="H70" s="22" t="str">
        <f ca="1">IFERROR(__xludf.dummyfunction("iferror(1000+INT(($N$4-(index(split(G70,"":""),1)*60+index(split(G70,"":""),2 )))/0.2+1)*$N$5,"""")"),"")</f>
        <v/>
      </c>
      <c r="I70" s="16" t="str">
        <f t="shared" ca="1" si="9"/>
        <v/>
      </c>
      <c r="J70" s="16" t="str">
        <f t="shared" si="10"/>
        <v/>
      </c>
      <c r="K70" s="16" t="str">
        <f t="shared" si="11"/>
        <v/>
      </c>
      <c r="L70" s="16"/>
    </row>
    <row r="71" spans="1:12" ht="14.5" x14ac:dyDescent="0.35">
      <c r="A71" s="16"/>
      <c r="B71" s="16"/>
      <c r="C71" s="16"/>
      <c r="D71" s="16"/>
      <c r="E71" s="22" t="str">
        <f ca="1">IFERROR(__xludf.dummyfunction("iferror(1000+INT(($N$2-(index(split(D71,"":""),1)*60+index(split(D71,"":""),2 )))/0.2+1)*$N$3,"""")"),"")</f>
        <v/>
      </c>
      <c r="F71" s="16" t="str">
        <f t="shared" ca="1" si="8"/>
        <v/>
      </c>
      <c r="G71" s="16"/>
      <c r="H71" s="22" t="str">
        <f ca="1">IFERROR(__xludf.dummyfunction("iferror(1000+INT(($N$4-(index(split(G71,"":""),1)*60+index(split(G71,"":""),2 )))/0.2+1)*$N$5,"""")"),"")</f>
        <v/>
      </c>
      <c r="I71" s="16" t="str">
        <f t="shared" ca="1" si="9"/>
        <v/>
      </c>
      <c r="J71" s="16" t="str">
        <f t="shared" si="10"/>
        <v/>
      </c>
      <c r="K71" s="16" t="str">
        <f t="shared" si="11"/>
        <v/>
      </c>
      <c r="L71" s="16"/>
    </row>
    <row r="72" spans="1:12" ht="14.5" x14ac:dyDescent="0.35">
      <c r="A72" s="16"/>
      <c r="B72" s="16"/>
      <c r="C72" s="16"/>
      <c r="D72" s="16"/>
      <c r="E72" s="22" t="str">
        <f ca="1">IFERROR(__xludf.dummyfunction("iferror(1000+INT(($N$2-(index(split(D72,"":""),1)*60+index(split(D72,"":""),2 )))/0.2+1)*$N$3,"""")"),"")</f>
        <v/>
      </c>
      <c r="F72" s="16" t="str">
        <f t="shared" ca="1" si="8"/>
        <v/>
      </c>
      <c r="G72" s="16"/>
      <c r="H72" s="22" t="str">
        <f ca="1">IFERROR(__xludf.dummyfunction("iferror(1000+INT(($N$4-(index(split(G72,"":""),1)*60+index(split(G72,"":""),2 )))/0.2+1)*$N$5,"""")"),"")</f>
        <v/>
      </c>
      <c r="I72" s="16" t="str">
        <f t="shared" ca="1" si="9"/>
        <v/>
      </c>
      <c r="J72" s="16" t="str">
        <f t="shared" si="10"/>
        <v/>
      </c>
      <c r="K72" s="16" t="str">
        <f t="shared" si="11"/>
        <v/>
      </c>
      <c r="L72" s="16"/>
    </row>
    <row r="73" spans="1:12" ht="14.5" x14ac:dyDescent="0.35">
      <c r="A73" s="16"/>
      <c r="B73" s="16"/>
      <c r="C73" s="16"/>
      <c r="D73" s="16"/>
      <c r="E73" s="22" t="str">
        <f ca="1">IFERROR(__xludf.dummyfunction("iferror(1000+INT(($N$2-(index(split(D73,"":""),1)*60+index(split(D73,"":""),2 )))/0.2+1)*$N$3,"""")"),"")</f>
        <v/>
      </c>
      <c r="F73" s="16" t="str">
        <f t="shared" ca="1" si="8"/>
        <v/>
      </c>
      <c r="G73" s="16"/>
      <c r="H73" s="22" t="str">
        <f ca="1">IFERROR(__xludf.dummyfunction("iferror(1000+INT(($N$4-(index(split(G73,"":""),1)*60+index(split(G73,"":""),2 )))/0.2+1)*$N$5,"""")"),"")</f>
        <v/>
      </c>
      <c r="I73" s="16" t="str">
        <f t="shared" ca="1" si="9"/>
        <v/>
      </c>
      <c r="J73" s="16" t="str">
        <f t="shared" si="10"/>
        <v/>
      </c>
      <c r="K73" s="16" t="str">
        <f t="shared" si="11"/>
        <v/>
      </c>
      <c r="L73" s="16"/>
    </row>
    <row r="74" spans="1:12" ht="14.5" x14ac:dyDescent="0.35">
      <c r="A74" s="16"/>
      <c r="B74" s="16"/>
      <c r="C74" s="16"/>
      <c r="D74" s="16"/>
      <c r="E74" s="22" t="str">
        <f ca="1">IFERROR(__xludf.dummyfunction("iferror(1000+INT(($N$2-(index(split(D74,"":""),1)*60+index(split(D74,"":""),2 )))/0.2+1)*$N$3,"""")"),"")</f>
        <v/>
      </c>
      <c r="F74" s="16" t="str">
        <f t="shared" ca="1" si="8"/>
        <v/>
      </c>
      <c r="G74" s="16"/>
      <c r="H74" s="22" t="str">
        <f ca="1">IFERROR(__xludf.dummyfunction("iferror(1000+INT(($N$4-(index(split(G74,"":""),1)*60+index(split(G74,"":""),2 )))/0.2+1)*$N$5,"""")"),"")</f>
        <v/>
      </c>
      <c r="I74" s="16" t="str">
        <f t="shared" ca="1" si="9"/>
        <v/>
      </c>
      <c r="J74" s="16" t="str">
        <f t="shared" si="10"/>
        <v/>
      </c>
      <c r="K74" s="16" t="str">
        <f t="shared" si="11"/>
        <v/>
      </c>
      <c r="L74" s="16"/>
    </row>
    <row r="75" spans="1:12" ht="14.5" x14ac:dyDescent="0.35">
      <c r="A75" s="16"/>
      <c r="B75" s="16"/>
      <c r="C75" s="16"/>
      <c r="D75" s="16"/>
      <c r="E75" s="22" t="str">
        <f ca="1">IFERROR(__xludf.dummyfunction("iferror(1000+INT(($N$2-(index(split(D75,"":""),1)*60+index(split(D75,"":""),2 )))/0.2+1)*$N$3,"""")"),"")</f>
        <v/>
      </c>
      <c r="F75" s="16" t="str">
        <f t="shared" ca="1" si="8"/>
        <v/>
      </c>
      <c r="G75" s="16"/>
      <c r="H75" s="22" t="str">
        <f ca="1">IFERROR(__xludf.dummyfunction("iferror(1000+INT(($N$4-(index(split(G75,"":""),1)*60+index(split(G75,"":""),2 )))/0.2+1)*$N$5,"""")"),"")</f>
        <v/>
      </c>
      <c r="I75" s="16" t="str">
        <f t="shared" ca="1" si="9"/>
        <v/>
      </c>
      <c r="J75" s="16" t="str">
        <f t="shared" si="10"/>
        <v/>
      </c>
      <c r="K75" s="16" t="str">
        <f t="shared" si="11"/>
        <v/>
      </c>
      <c r="L75" s="16"/>
    </row>
    <row r="76" spans="1:12" ht="14.5" x14ac:dyDescent="0.35">
      <c r="A76" s="16"/>
      <c r="B76" s="16"/>
      <c r="C76" s="16"/>
      <c r="D76" s="16"/>
      <c r="E76" s="22" t="str">
        <f ca="1">IFERROR(__xludf.dummyfunction("iferror(1000+INT(($N$2-(index(split(D76,"":""),1)*60+index(split(D76,"":""),2 )))/0.2+1)*$N$3,"""")"),"")</f>
        <v/>
      </c>
      <c r="F76" s="16" t="str">
        <f t="shared" ca="1" si="8"/>
        <v/>
      </c>
      <c r="G76" s="16"/>
      <c r="H76" s="22" t="str">
        <f ca="1">IFERROR(__xludf.dummyfunction("iferror(1000+INT(($N$4-(index(split(G76,"":""),1)*60+index(split(G76,"":""),2 )))/0.2+1)*$N$5,"""")"),"")</f>
        <v/>
      </c>
      <c r="I76" s="16" t="str">
        <f t="shared" ca="1" si="9"/>
        <v/>
      </c>
      <c r="J76" s="16" t="str">
        <f t="shared" si="10"/>
        <v/>
      </c>
      <c r="K76" s="16" t="str">
        <f t="shared" si="11"/>
        <v/>
      </c>
      <c r="L76" s="16"/>
    </row>
    <row r="77" spans="1:12" ht="14.5" x14ac:dyDescent="0.35">
      <c r="A77" s="16"/>
      <c r="B77" s="16"/>
      <c r="C77" s="16"/>
      <c r="D77" s="16"/>
      <c r="E77" s="22" t="str">
        <f ca="1">IFERROR(__xludf.dummyfunction("iferror(1000+INT(($N$2-(index(split(D77,"":""),1)*60+index(split(D77,"":""),2 )))/0.2+1)*$N$3,"""")"),"")</f>
        <v/>
      </c>
      <c r="F77" s="16" t="str">
        <f t="shared" ca="1" si="8"/>
        <v/>
      </c>
      <c r="G77" s="16"/>
      <c r="H77" s="22" t="str">
        <f ca="1">IFERROR(__xludf.dummyfunction("iferror(1000+INT(($N$4-(index(split(G77,"":""),1)*60+index(split(G77,"":""),2 )))/0.2+1)*$N$5,"""")"),"")</f>
        <v/>
      </c>
      <c r="I77" s="16" t="str">
        <f t="shared" ca="1" si="9"/>
        <v/>
      </c>
      <c r="J77" s="16" t="str">
        <f t="shared" si="10"/>
        <v/>
      </c>
      <c r="K77" s="16" t="str">
        <f t="shared" si="11"/>
        <v/>
      </c>
      <c r="L77" s="16"/>
    </row>
    <row r="78" spans="1:12" ht="14.5" x14ac:dyDescent="0.35">
      <c r="A78" s="16"/>
      <c r="B78" s="16"/>
      <c r="C78" s="16"/>
      <c r="D78" s="16"/>
      <c r="E78" s="22" t="str">
        <f ca="1">IFERROR(__xludf.dummyfunction("iferror(1000+INT(($N$2-(index(split(D78,"":""),1)*60+index(split(D78,"":""),2 )))/0.2+1)*$N$3,"""")"),"")</f>
        <v/>
      </c>
      <c r="F78" s="16" t="str">
        <f t="shared" ca="1" si="8"/>
        <v/>
      </c>
      <c r="G78" s="16"/>
      <c r="H78" s="22" t="str">
        <f ca="1">IFERROR(__xludf.dummyfunction("iferror(1000+INT(($N$4-(index(split(G78,"":""),1)*60+index(split(G78,"":""),2 )))/0.2+1)*$N$5,"""")"),"")</f>
        <v/>
      </c>
      <c r="I78" s="16" t="str">
        <f t="shared" ca="1" si="9"/>
        <v/>
      </c>
      <c r="J78" s="16" t="str">
        <f t="shared" si="10"/>
        <v/>
      </c>
      <c r="K78" s="16" t="str">
        <f t="shared" si="11"/>
        <v/>
      </c>
      <c r="L78" s="16"/>
    </row>
    <row r="79" spans="1:12" ht="14.5" x14ac:dyDescent="0.35">
      <c r="A79" s="16"/>
      <c r="B79" s="16"/>
      <c r="C79" s="16"/>
      <c r="D79" s="16"/>
      <c r="E79" s="22" t="str">
        <f ca="1">IFERROR(__xludf.dummyfunction("iferror(1000+INT(($N$2-(index(split(D79,"":""),1)*60+index(split(D79,"":""),2 )))/0.2+1)*$N$3,"""")"),"")</f>
        <v/>
      </c>
      <c r="F79" s="16" t="str">
        <f t="shared" ca="1" si="8"/>
        <v/>
      </c>
      <c r="G79" s="16"/>
      <c r="H79" s="22" t="str">
        <f ca="1">IFERROR(__xludf.dummyfunction("iferror(1000+INT(($N$4-(index(split(G79,"":""),1)*60+index(split(G79,"":""),2 )))/0.2+1)*$N$5,"""")"),"")</f>
        <v/>
      </c>
      <c r="I79" s="16" t="str">
        <f t="shared" ca="1" si="9"/>
        <v/>
      </c>
      <c r="J79" s="16" t="str">
        <f t="shared" si="10"/>
        <v/>
      </c>
      <c r="K79" s="16" t="str">
        <f t="shared" si="11"/>
        <v/>
      </c>
      <c r="L79" s="16"/>
    </row>
    <row r="80" spans="1:12" ht="14.5" x14ac:dyDescent="0.35">
      <c r="A80" s="16"/>
      <c r="B80" s="16"/>
      <c r="C80" s="16"/>
      <c r="D80" s="16"/>
      <c r="E80" s="22" t="str">
        <f ca="1">IFERROR(__xludf.dummyfunction("iferror(1000+INT(($N$2-(index(split(D80,"":""),1)*60+index(split(D80,"":""),2 )))/0.2+1)*$N$3,"""")"),"")</f>
        <v/>
      </c>
      <c r="F80" s="16" t="str">
        <f t="shared" ca="1" si="8"/>
        <v/>
      </c>
      <c r="G80" s="16"/>
      <c r="H80" s="22" t="str">
        <f ca="1">IFERROR(__xludf.dummyfunction("iferror(1000+INT(($N$4-(index(split(G80,"":""),1)*60+index(split(G80,"":""),2 )))/0.2+1)*$N$5,"""")"),"")</f>
        <v/>
      </c>
      <c r="I80" s="16" t="str">
        <f t="shared" ca="1" si="9"/>
        <v/>
      </c>
      <c r="J80" s="16" t="str">
        <f t="shared" si="10"/>
        <v/>
      </c>
      <c r="K80" s="16" t="str">
        <f t="shared" si="11"/>
        <v/>
      </c>
      <c r="L80" s="16"/>
    </row>
    <row r="81" spans="1:12" ht="14.5" x14ac:dyDescent="0.35">
      <c r="A81" s="16"/>
      <c r="B81" s="16"/>
      <c r="C81" s="16"/>
      <c r="D81" s="16"/>
      <c r="E81" s="22" t="str">
        <f ca="1">IFERROR(__xludf.dummyfunction("iferror(1000+INT(($N$2-(index(split(D81,"":""),1)*60+index(split(D81,"":""),2 )))/0.2+1)*$N$3,"""")"),"")</f>
        <v/>
      </c>
      <c r="F81" s="16" t="str">
        <f t="shared" ca="1" si="8"/>
        <v/>
      </c>
      <c r="G81" s="16"/>
      <c r="H81" s="22" t="str">
        <f ca="1">IFERROR(__xludf.dummyfunction("iferror(1000+INT(($N$4-(index(split(G81,"":""),1)*60+index(split(G81,"":""),2 )))/0.2+1)*$N$5,"""")"),"")</f>
        <v/>
      </c>
      <c r="I81" s="16" t="str">
        <f t="shared" ca="1" si="9"/>
        <v/>
      </c>
      <c r="J81" s="16" t="str">
        <f t="shared" si="10"/>
        <v/>
      </c>
      <c r="K81" s="16" t="str">
        <f t="shared" si="11"/>
        <v/>
      </c>
      <c r="L81" s="16"/>
    </row>
    <row r="82" spans="1:12" ht="14.5" x14ac:dyDescent="0.35">
      <c r="A82" s="16"/>
      <c r="B82" s="16"/>
      <c r="C82" s="16"/>
      <c r="D82" s="16"/>
      <c r="E82" s="22" t="str">
        <f ca="1">IFERROR(__xludf.dummyfunction("iferror(1000+INT(($N$2-(index(split(D82,"":""),1)*60+index(split(D82,"":""),2 )))/0.2+1)*$N$3,"""")"),"")</f>
        <v/>
      </c>
      <c r="F82" s="16" t="str">
        <f t="shared" ca="1" si="8"/>
        <v/>
      </c>
      <c r="G82" s="16"/>
      <c r="H82" s="22" t="str">
        <f ca="1">IFERROR(__xludf.dummyfunction("iferror(1000+INT(($N$4-(index(split(G82,"":""),1)*60+index(split(G82,"":""),2 )))/0.2+1)*$N$5,"""")"),"")</f>
        <v/>
      </c>
      <c r="I82" s="16" t="str">
        <f t="shared" ca="1" si="9"/>
        <v/>
      </c>
      <c r="J82" s="16" t="str">
        <f t="shared" si="10"/>
        <v/>
      </c>
      <c r="K82" s="16" t="str">
        <f t="shared" si="11"/>
        <v/>
      </c>
      <c r="L82" s="16"/>
    </row>
    <row r="83" spans="1:12" ht="14.5" x14ac:dyDescent="0.35">
      <c r="A83" s="16"/>
      <c r="B83" s="16"/>
      <c r="C83" s="16"/>
      <c r="D83" s="16"/>
      <c r="E83" s="22" t="str">
        <f ca="1">IFERROR(__xludf.dummyfunction("iferror(1000+INT(($N$2-(index(split(D83,"":""),1)*60+index(split(D83,"":""),2 )))/0.2+1)*$N$3,"""")"),"")</f>
        <v/>
      </c>
      <c r="F83" s="16" t="str">
        <f t="shared" ca="1" si="8"/>
        <v/>
      </c>
      <c r="G83" s="16"/>
      <c r="H83" s="22" t="str">
        <f ca="1">IFERROR(__xludf.dummyfunction("iferror(1000+INT(($N$4-(index(split(G83,"":""),1)*60+index(split(G83,"":""),2 )))/0.2+1)*$N$5,"""")"),"")</f>
        <v/>
      </c>
      <c r="I83" s="16" t="str">
        <f t="shared" ca="1" si="9"/>
        <v/>
      </c>
      <c r="J83" s="16" t="str">
        <f t="shared" si="10"/>
        <v/>
      </c>
      <c r="K83" s="16" t="str">
        <f t="shared" si="11"/>
        <v/>
      </c>
      <c r="L83" s="16"/>
    </row>
    <row r="84" spans="1:12" ht="14.5" x14ac:dyDescent="0.35">
      <c r="A84" s="16"/>
      <c r="B84" s="16"/>
      <c r="C84" s="16"/>
      <c r="D84" s="16"/>
      <c r="E84" s="22" t="str">
        <f ca="1">IFERROR(__xludf.dummyfunction("iferror(1000+INT(($N$2-(index(split(D84,"":""),1)*60+index(split(D84,"":""),2 )))/0.2+1)*$N$3,"""")"),"")</f>
        <v/>
      </c>
      <c r="F84" s="16" t="str">
        <f t="shared" ca="1" si="8"/>
        <v/>
      </c>
      <c r="G84" s="16"/>
      <c r="H84" s="22" t="str">
        <f ca="1">IFERROR(__xludf.dummyfunction("iferror(1000+INT(($N$4-(index(split(G84,"":""),1)*60+index(split(G84,"":""),2 )))/0.2+1)*$N$5,"""")"),"")</f>
        <v/>
      </c>
      <c r="I84" s="16" t="str">
        <f t="shared" ca="1" si="9"/>
        <v/>
      </c>
      <c r="J84" s="16" t="str">
        <f t="shared" si="10"/>
        <v/>
      </c>
      <c r="K84" s="16" t="str">
        <f t="shared" si="11"/>
        <v/>
      </c>
      <c r="L84" s="16"/>
    </row>
    <row r="85" spans="1:12" ht="14.5" x14ac:dyDescent="0.35">
      <c r="A85" s="16"/>
      <c r="B85" s="16"/>
      <c r="C85" s="16"/>
      <c r="D85" s="16"/>
      <c r="E85" s="22" t="str">
        <f ca="1">IFERROR(__xludf.dummyfunction("iferror(1000+INT(($N$2-(index(split(D85,"":""),1)*60+index(split(D85,"":""),2 )))/0.2+1)*$N$3,"""")"),"")</f>
        <v/>
      </c>
      <c r="F85" s="16" t="str">
        <f t="shared" ca="1" si="8"/>
        <v/>
      </c>
      <c r="G85" s="16"/>
      <c r="H85" s="22" t="str">
        <f ca="1">IFERROR(__xludf.dummyfunction("iferror(1000+INT(($N$4-(index(split(G85,"":""),1)*60+index(split(G85,"":""),2 )))/0.2+1)*$N$5,"""")"),"")</f>
        <v/>
      </c>
      <c r="I85" s="16" t="str">
        <f t="shared" ca="1" si="9"/>
        <v/>
      </c>
      <c r="J85" s="16" t="str">
        <f t="shared" si="10"/>
        <v/>
      </c>
      <c r="K85" s="16" t="str">
        <f t="shared" si="11"/>
        <v/>
      </c>
      <c r="L85" s="16"/>
    </row>
    <row r="86" spans="1:12" ht="14.5" x14ac:dyDescent="0.35">
      <c r="A86" s="16"/>
      <c r="B86" s="16"/>
      <c r="C86" s="16"/>
      <c r="D86" s="16"/>
      <c r="E86" s="22" t="str">
        <f ca="1">IFERROR(__xludf.dummyfunction("iferror(1000+INT(($N$2-(index(split(D86,"":""),1)*60+index(split(D86,"":""),2 )))/0.2+1)*$N$3,"""")"),"")</f>
        <v/>
      </c>
      <c r="F86" s="16" t="str">
        <f t="shared" ca="1" si="8"/>
        <v/>
      </c>
      <c r="G86" s="16"/>
      <c r="H86" s="22" t="str">
        <f ca="1">IFERROR(__xludf.dummyfunction("iferror(1000+INT(($N$4-(index(split(G86,"":""),1)*60+index(split(G86,"":""),2 )))/0.2+1)*$N$5,"""")"),"")</f>
        <v/>
      </c>
      <c r="I86" s="16" t="str">
        <f t="shared" ca="1" si="9"/>
        <v/>
      </c>
      <c r="J86" s="16" t="str">
        <f t="shared" si="10"/>
        <v/>
      </c>
      <c r="K86" s="16" t="str">
        <f t="shared" si="11"/>
        <v/>
      </c>
      <c r="L86" s="16"/>
    </row>
    <row r="87" spans="1:12" ht="14.5" x14ac:dyDescent="0.35">
      <c r="A87" s="16"/>
      <c r="B87" s="16"/>
      <c r="C87" s="16"/>
      <c r="D87" s="16"/>
      <c r="E87" s="22" t="str">
        <f ca="1">IFERROR(__xludf.dummyfunction("iferror(1000+INT(($N$2-(index(split(D87,"":""),1)*60+index(split(D87,"":""),2 )))/0.2+1)*$N$3,"""")"),"")</f>
        <v/>
      </c>
      <c r="F87" s="16" t="str">
        <f t="shared" ca="1" si="8"/>
        <v/>
      </c>
      <c r="G87" s="16"/>
      <c r="H87" s="22" t="str">
        <f ca="1">IFERROR(__xludf.dummyfunction("iferror(1000+INT(($N$4-(index(split(G87,"":""),1)*60+index(split(G87,"":""),2 )))/0.2+1)*$N$5,"""")"),"")</f>
        <v/>
      </c>
      <c r="I87" s="16" t="str">
        <f t="shared" ca="1" si="9"/>
        <v/>
      </c>
      <c r="J87" s="16" t="str">
        <f t="shared" si="10"/>
        <v/>
      </c>
      <c r="K87" s="16" t="str">
        <f t="shared" si="11"/>
        <v/>
      </c>
      <c r="L87" s="16"/>
    </row>
    <row r="88" spans="1:12" ht="14.5" x14ac:dyDescent="0.35">
      <c r="A88" s="16"/>
      <c r="B88" s="16"/>
      <c r="C88" s="16"/>
      <c r="D88" s="16"/>
      <c r="E88" s="22" t="str">
        <f ca="1">IFERROR(__xludf.dummyfunction("iferror(1000+INT(($N$2-(index(split(D88,"":""),1)*60+index(split(D88,"":""),2 )))/0.2+1)*$N$3,"""")"),"")</f>
        <v/>
      </c>
      <c r="F88" s="16" t="str">
        <f t="shared" ca="1" si="8"/>
        <v/>
      </c>
      <c r="G88" s="16"/>
      <c r="H88" s="22" t="str">
        <f ca="1">IFERROR(__xludf.dummyfunction("iferror(1000+INT(($N$4-(index(split(G88,"":""),1)*60+index(split(G88,"":""),2 )))/0.2+1)*$N$5,"""")"),"")</f>
        <v/>
      </c>
      <c r="I88" s="16" t="str">
        <f t="shared" ca="1" si="9"/>
        <v/>
      </c>
      <c r="J88" s="16" t="str">
        <f t="shared" si="10"/>
        <v/>
      </c>
      <c r="K88" s="16" t="str">
        <f t="shared" si="11"/>
        <v/>
      </c>
      <c r="L88" s="16"/>
    </row>
    <row r="89" spans="1:12" ht="14.5" x14ac:dyDescent="0.35">
      <c r="A89" s="16"/>
      <c r="B89" s="16"/>
      <c r="C89" s="16"/>
      <c r="D89" s="16"/>
      <c r="E89" s="22" t="str">
        <f ca="1">IFERROR(__xludf.dummyfunction("iferror(1000+INT(($N$2-(index(split(D89,"":""),1)*60+index(split(D89,"":""),2 )))/0.2+1)*$N$3,"""")"),"")</f>
        <v/>
      </c>
      <c r="F89" s="16" t="str">
        <f t="shared" ca="1" si="8"/>
        <v/>
      </c>
      <c r="G89" s="16"/>
      <c r="H89" s="22" t="str">
        <f ca="1">IFERROR(__xludf.dummyfunction("iferror(1000+INT(($N$4-(index(split(G89,"":""),1)*60+index(split(G89,"":""),2 )))/0.2+1)*$N$5,"""")"),"")</f>
        <v/>
      </c>
      <c r="I89" s="16" t="str">
        <f t="shared" ca="1" si="9"/>
        <v/>
      </c>
      <c r="J89" s="16" t="str">
        <f t="shared" si="10"/>
        <v/>
      </c>
      <c r="K89" s="16" t="str">
        <f t="shared" si="11"/>
        <v/>
      </c>
      <c r="L89" s="16"/>
    </row>
    <row r="90" spans="1:12" ht="14.5" x14ac:dyDescent="0.35">
      <c r="A90" s="16"/>
      <c r="B90" s="16"/>
      <c r="C90" s="16"/>
      <c r="D90" s="16"/>
      <c r="E90" s="22" t="str">
        <f ca="1">IFERROR(__xludf.dummyfunction("iferror(1000+INT(($N$2-(index(split(D90,"":""),1)*60+index(split(D90,"":""),2 )))/0.2+1)*$N$3,"""")"),"")</f>
        <v/>
      </c>
      <c r="F90" s="16" t="str">
        <f t="shared" ca="1" si="8"/>
        <v/>
      </c>
      <c r="G90" s="16"/>
      <c r="H90" s="22" t="str">
        <f ca="1">IFERROR(__xludf.dummyfunction("iferror(1000+INT(($N$4-(index(split(G90,"":""),1)*60+index(split(G90,"":""),2 )))/0.2+1)*$N$5,"""")"),"")</f>
        <v/>
      </c>
      <c r="I90" s="16" t="str">
        <f t="shared" ca="1" si="9"/>
        <v/>
      </c>
      <c r="J90" s="16" t="str">
        <f t="shared" si="10"/>
        <v/>
      </c>
      <c r="K90" s="16" t="str">
        <f t="shared" si="11"/>
        <v/>
      </c>
      <c r="L90" s="16"/>
    </row>
    <row r="91" spans="1:12" ht="14.5" x14ac:dyDescent="0.35">
      <c r="A91" s="16"/>
      <c r="B91" s="16"/>
      <c r="C91" s="16"/>
      <c r="D91" s="16"/>
      <c r="E91" s="22" t="str">
        <f ca="1">IFERROR(__xludf.dummyfunction("iferror(1000+INT(($N$2-(index(split(D91,"":""),1)*60+index(split(D91,"":""),2 )))/0.2+1)*$N$3,"""")"),"")</f>
        <v/>
      </c>
      <c r="F91" s="16" t="str">
        <f t="shared" ca="1" si="8"/>
        <v/>
      </c>
      <c r="G91" s="16"/>
      <c r="H91" s="22" t="str">
        <f ca="1">IFERROR(__xludf.dummyfunction("iferror(1000+INT(($N$4-(index(split(G91,"":""),1)*60+index(split(G91,"":""),2 )))/0.2+1)*$N$5,"""")"),"")</f>
        <v/>
      </c>
      <c r="I91" s="16" t="str">
        <f t="shared" ca="1" si="9"/>
        <v/>
      </c>
      <c r="J91" s="16" t="str">
        <f t="shared" si="10"/>
        <v/>
      </c>
      <c r="K91" s="16" t="str">
        <f t="shared" si="11"/>
        <v/>
      </c>
      <c r="L91" s="16"/>
    </row>
    <row r="92" spans="1:12" ht="14.5" x14ac:dyDescent="0.35">
      <c r="A92" s="16"/>
      <c r="B92" s="16"/>
      <c r="C92" s="16"/>
      <c r="D92" s="16"/>
      <c r="E92" s="22" t="str">
        <f ca="1">IFERROR(__xludf.dummyfunction("iferror(1000+INT(($N$2-(index(split(D92,"":""),1)*60+index(split(D92,"":""),2 )))/0.2+1)*$N$3,"""")"),"")</f>
        <v/>
      </c>
      <c r="F92" s="16" t="str">
        <f t="shared" ca="1" si="8"/>
        <v/>
      </c>
      <c r="G92" s="16"/>
      <c r="H92" s="22" t="str">
        <f ca="1">IFERROR(__xludf.dummyfunction("iferror(1000+INT(($N$4-(index(split(G92,"":""),1)*60+index(split(G92,"":""),2 )))/0.2+1)*$N$5,"""")"),"")</f>
        <v/>
      </c>
      <c r="I92" s="16" t="str">
        <f t="shared" ca="1" si="9"/>
        <v/>
      </c>
      <c r="J92" s="16" t="str">
        <f t="shared" si="10"/>
        <v/>
      </c>
      <c r="K92" s="16" t="str">
        <f t="shared" si="11"/>
        <v/>
      </c>
      <c r="L92" s="16"/>
    </row>
    <row r="93" spans="1:12" ht="14.5" x14ac:dyDescent="0.35">
      <c r="A93" s="16"/>
      <c r="B93" s="16"/>
      <c r="C93" s="16"/>
      <c r="D93" s="16"/>
      <c r="E93" s="22" t="str">
        <f ca="1">IFERROR(__xludf.dummyfunction("iferror(1000+INT(($N$2-(index(split(D93,"":""),1)*60+index(split(D93,"":""),2 )))/0.2+1)*$N$3,"""")"),"")</f>
        <v/>
      </c>
      <c r="F93" s="16" t="str">
        <f t="shared" ca="1" si="8"/>
        <v/>
      </c>
      <c r="G93" s="16"/>
      <c r="H93" s="22" t="str">
        <f ca="1">IFERROR(__xludf.dummyfunction("iferror(1000+INT(($N$4-(index(split(G93,"":""),1)*60+index(split(G93,"":""),2 )))/0.2+1)*$N$5,"""")"),"")</f>
        <v/>
      </c>
      <c r="I93" s="16" t="str">
        <f t="shared" ca="1" si="9"/>
        <v/>
      </c>
      <c r="J93" s="16" t="str">
        <f t="shared" si="10"/>
        <v/>
      </c>
      <c r="K93" s="16" t="str">
        <f t="shared" si="11"/>
        <v/>
      </c>
      <c r="L93" s="16"/>
    </row>
    <row r="94" spans="1:12" ht="14.5" x14ac:dyDescent="0.35">
      <c r="A94" s="16"/>
      <c r="B94" s="16"/>
      <c r="C94" s="16"/>
      <c r="D94" s="16"/>
      <c r="E94" s="22" t="str">
        <f ca="1">IFERROR(__xludf.dummyfunction("iferror(1000+INT(($N$2-(index(split(D94,"":""),1)*60+index(split(D94,"":""),2 )))/0.2+1)*$N$3,"""")"),"")</f>
        <v/>
      </c>
      <c r="F94" s="16" t="str">
        <f t="shared" ca="1" si="8"/>
        <v/>
      </c>
      <c r="G94" s="16"/>
      <c r="H94" s="22" t="str">
        <f ca="1">IFERROR(__xludf.dummyfunction("iferror(1000+INT(($N$4-(index(split(G94,"":""),1)*60+index(split(G94,"":""),2 )))/0.2+1)*$N$5,"""")"),"")</f>
        <v/>
      </c>
      <c r="I94" s="16" t="str">
        <f t="shared" ca="1" si="9"/>
        <v/>
      </c>
      <c r="J94" s="16" t="str">
        <f t="shared" si="10"/>
        <v/>
      </c>
      <c r="K94" s="16" t="str">
        <f t="shared" si="11"/>
        <v/>
      </c>
      <c r="L94" s="16"/>
    </row>
    <row r="95" spans="1:12" ht="14.5" x14ac:dyDescent="0.35">
      <c r="A95" s="16"/>
      <c r="B95" s="16"/>
      <c r="C95" s="16"/>
      <c r="D95" s="16"/>
      <c r="E95" s="22" t="str">
        <f ca="1">IFERROR(__xludf.dummyfunction("iferror(1000+INT(($N$2-(index(split(D95,"":""),1)*60+index(split(D95,"":""),2 )))/0.2+1)*$N$3,"""")"),"")</f>
        <v/>
      </c>
      <c r="F95" s="16" t="str">
        <f t="shared" ca="1" si="8"/>
        <v/>
      </c>
      <c r="G95" s="16"/>
      <c r="H95" s="22" t="str">
        <f ca="1">IFERROR(__xludf.dummyfunction("iferror(1000+INT(($N$4-(index(split(G95,"":""),1)*60+index(split(G95,"":""),2 )))/0.2+1)*$N$5,"""")"),"")</f>
        <v/>
      </c>
      <c r="I95" s="16" t="str">
        <f t="shared" ca="1" si="9"/>
        <v/>
      </c>
      <c r="J95" s="16" t="str">
        <f t="shared" si="10"/>
        <v/>
      </c>
      <c r="K95" s="16" t="str">
        <f t="shared" si="11"/>
        <v/>
      </c>
      <c r="L95" s="16"/>
    </row>
    <row r="96" spans="1:12" ht="14.5" x14ac:dyDescent="0.35">
      <c r="A96" s="16"/>
      <c r="B96" s="16"/>
      <c r="C96" s="16"/>
      <c r="D96" s="16"/>
      <c r="E96" s="22" t="str">
        <f ca="1">IFERROR(__xludf.dummyfunction("iferror(1000+INT(($N$2-(index(split(D96,"":""),1)*60+index(split(D96,"":""),2 )))/0.2+1)*$N$3,"""")"),"")</f>
        <v/>
      </c>
      <c r="F96" s="16" t="str">
        <f t="shared" ca="1" si="8"/>
        <v/>
      </c>
      <c r="G96" s="16"/>
      <c r="H96" s="22" t="str">
        <f ca="1">IFERROR(__xludf.dummyfunction("iferror(1000+INT(($N$4-(index(split(G96,"":""),1)*60+index(split(G96,"":""),2 )))/0.2+1)*$N$5,"""")"),"")</f>
        <v/>
      </c>
      <c r="I96" s="16" t="str">
        <f t="shared" ca="1" si="9"/>
        <v/>
      </c>
      <c r="J96" s="16" t="str">
        <f t="shared" si="10"/>
        <v/>
      </c>
      <c r="K96" s="16" t="str">
        <f t="shared" si="11"/>
        <v/>
      </c>
      <c r="L96" s="16"/>
    </row>
    <row r="97" spans="1:12" ht="14.5" x14ac:dyDescent="0.35">
      <c r="A97" s="16"/>
      <c r="B97" s="16"/>
      <c r="C97" s="16"/>
      <c r="D97" s="16"/>
      <c r="E97" s="22" t="str">
        <f ca="1">IFERROR(__xludf.dummyfunction("iferror(1000+INT(($N$2-(index(split(D97,"":""),1)*60+index(split(D97,"":""),2 )))/0.2+1)*$N$3,"""")"),"")</f>
        <v/>
      </c>
      <c r="F97" s="16" t="str">
        <f t="shared" ca="1" si="8"/>
        <v/>
      </c>
      <c r="G97" s="16"/>
      <c r="H97" s="22" t="str">
        <f ca="1">IFERROR(__xludf.dummyfunction("iferror(1000+INT(($N$4-(index(split(G97,"":""),1)*60+index(split(G97,"":""),2 )))/0.2+1)*$N$5,"""")"),"")</f>
        <v/>
      </c>
      <c r="I97" s="16" t="str">
        <f t="shared" ca="1" si="9"/>
        <v/>
      </c>
      <c r="J97" s="16" t="str">
        <f t="shared" si="10"/>
        <v/>
      </c>
      <c r="K97" s="16" t="str">
        <f t="shared" si="11"/>
        <v/>
      </c>
      <c r="L97" s="16"/>
    </row>
    <row r="98" spans="1:12" ht="14.5" x14ac:dyDescent="0.35">
      <c r="A98" s="16"/>
      <c r="B98" s="16"/>
      <c r="C98" s="16"/>
      <c r="D98" s="16"/>
      <c r="E98" s="22" t="str">
        <f ca="1">IFERROR(__xludf.dummyfunction("iferror(1000+INT(($N$2-(index(split(D98,"":""),1)*60+index(split(D98,"":""),2 )))/0.2+1)*$N$3,"""")"),"")</f>
        <v/>
      </c>
      <c r="F98" s="16" t="str">
        <f t="shared" ref="F98:F129" ca="1" si="12">IFERROR(_xlfn.RANK.EQ(E98,E:E),"")</f>
        <v/>
      </c>
      <c r="G98" s="16"/>
      <c r="H98" s="22" t="str">
        <f ca="1">IFERROR(__xludf.dummyfunction("iferror(1000+INT(($N$4-(index(split(G98,"":""),1)*60+index(split(G98,"":""),2 )))/0.2+1)*$N$5,"""")"),"")</f>
        <v/>
      </c>
      <c r="I98" s="16" t="str">
        <f t="shared" ref="I98:I129" ca="1" si="13">IFERROR(_xlfn.RANK.EQ(H98,H:H),"")</f>
        <v/>
      </c>
      <c r="J98" s="16" t="str">
        <f t="shared" si="10"/>
        <v/>
      </c>
      <c r="K98" s="16" t="str">
        <f t="shared" ref="K98:K129" si="14">IFERROR(_xlfn.RANK.EQ(J98,J:J),"")</f>
        <v/>
      </c>
      <c r="L98" s="16"/>
    </row>
    <row r="99" spans="1:12" ht="14.5" x14ac:dyDescent="0.35">
      <c r="A99" s="16"/>
      <c r="B99" s="16"/>
      <c r="C99" s="16"/>
      <c r="D99" s="16"/>
      <c r="E99" s="22" t="str">
        <f ca="1">IFERROR(__xludf.dummyfunction("iferror(1000+INT(($N$2-(index(split(D99,"":""),1)*60+index(split(D99,"":""),2 )))/0.2+1)*$N$3,"""")"),"")</f>
        <v/>
      </c>
      <c r="F99" s="16" t="str">
        <f t="shared" ca="1" si="12"/>
        <v/>
      </c>
      <c r="G99" s="16"/>
      <c r="H99" s="22" t="str">
        <f ca="1">IFERROR(__xludf.dummyfunction("iferror(1000+INT(($N$4-(index(split(G99,"":""),1)*60+index(split(G99,"":""),2 )))/0.2+1)*$N$5,"""")"),"")</f>
        <v/>
      </c>
      <c r="I99" s="16" t="str">
        <f t="shared" ca="1" si="13"/>
        <v/>
      </c>
      <c r="J99" s="16" t="str">
        <f t="shared" si="10"/>
        <v/>
      </c>
      <c r="K99" s="16" t="str">
        <f t="shared" si="14"/>
        <v/>
      </c>
      <c r="L99" s="16"/>
    </row>
    <row r="100" spans="1:12" ht="14.5" x14ac:dyDescent="0.35">
      <c r="A100" s="16"/>
      <c r="B100" s="16"/>
      <c r="C100" s="16"/>
      <c r="D100" s="16"/>
      <c r="E100" s="22" t="str">
        <f ca="1">IFERROR(__xludf.dummyfunction("iferror(1000+INT(($N$2-(index(split(D100,"":""),1)*60+index(split(D100,"":""),2 )))/0.2+1)*$N$3,"""")"),"")</f>
        <v/>
      </c>
      <c r="F100" s="16" t="str">
        <f t="shared" ca="1" si="12"/>
        <v/>
      </c>
      <c r="G100" s="16"/>
      <c r="H100" s="22" t="str">
        <f ca="1">IFERROR(__xludf.dummyfunction("iferror(1000+INT(($N$4-(index(split(G100,"":""),1)*60+index(split(G100,"":""),2 )))/0.2+1)*$N$5,"""")"),"")</f>
        <v/>
      </c>
      <c r="I100" s="16" t="str">
        <f t="shared" ca="1" si="13"/>
        <v/>
      </c>
      <c r="J100" s="16" t="str">
        <f t="shared" si="10"/>
        <v/>
      </c>
      <c r="K100" s="16" t="str">
        <f t="shared" si="14"/>
        <v/>
      </c>
      <c r="L100" s="16"/>
    </row>
    <row r="101" spans="1:12" ht="14.5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4.5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4.5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4.5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4.5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4.5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4.5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4.5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4.5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4.5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4.5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4.5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4.5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4.5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4.5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4.5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4.5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4.5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4.5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4.5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4.5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4.5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4.5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4.5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4.5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4.5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4.5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4.5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4.5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4.5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4.5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4.5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4.5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4.5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4.5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4.5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4.5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4.5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4.5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4.5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4.5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4.5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4.5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4.5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4.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4.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4.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4.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4.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4.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4.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4.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4.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4.5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4.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4.5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4.5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4.5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4.5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4.5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4.5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4.5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ht="14.5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4.5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ht="14.5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ht="14.5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4.5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4.5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5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4.5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4.5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4.5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4.5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4.5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4.5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4.5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4.5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4.5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4.5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4.5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4.5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4.5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4.5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4.5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4.5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4.5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4.5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4.5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4.5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4.5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4.5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4.5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4.5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4.5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4.5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4.5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4.5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4.5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4.5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4.5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4.5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4.5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4.5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4.5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4.5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4.5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4.5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4.5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4.5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4.5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4.5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4.5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4.5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4.5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4.5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4.5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4.5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4.5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4.5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4.5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4.5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4.5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4.5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4.5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4.5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4.5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4.5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4.5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4.5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4.5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4.5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4.5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4.5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5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4.5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4.5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4.5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4.5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4.5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4.5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4.5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4.5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4.5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4.5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4.5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4.5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4.5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4.5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4.5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4.5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4.5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4.5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4.5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4.5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4.5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4.5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4.5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4.5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4.5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4.5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4.5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4.5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4.5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4.5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4.5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4.5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4.5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4.5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4.5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4.5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4.5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4.5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4.5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4.5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4.5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4.5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4.5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4.5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4.5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4.5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4.5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4.5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4.5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4.5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4.5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4.5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4.5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4.5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4.5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4.5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4.5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4.5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4.5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4.5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4.5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4.5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4.5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4.5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4.5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4.5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4.5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4.5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4.5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4.5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4.5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4.5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4.5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4.5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4.5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4.5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4.5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4.5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4.5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4.5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4.5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4.5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4.5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4.5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4.5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4.5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4.5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4.5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4.5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4.5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4.5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4.5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4.5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4.5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4.5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4.5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4.5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4.5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4.5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4.5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4.5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4.5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4.5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4.5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4.5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4.5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4.5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4.5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4.5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4.5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4.5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4.5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4.5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4.5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4.5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4.5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4.5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4.5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4.5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4.5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4.5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4.5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4.5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4.5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4.5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4.5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4.5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4.5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4.5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4.5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4.5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4.5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4.5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4.5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4.5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4.5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4.5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4.5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4.5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4.5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4.5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4.5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4.5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4.5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4.5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ht="14.5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ht="14.5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ht="14.5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ht="14.5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ht="14.5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ht="14.5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ht="14.5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ht="14.5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ht="14.5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ht="14.5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ht="14.5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ht="14.5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ht="14.5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ht="14.5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ht="14.5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ht="14.5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ht="14.5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ht="14.5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ht="14.5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ht="14.5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ht="14.5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ht="14.5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ht="14.5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ht="14.5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ht="14.5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ht="14.5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ht="14.5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ht="14.5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ht="14.5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ht="14.5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ht="14.5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ht="14.5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ht="14.5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ht="14.5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ht="14.5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ht="14.5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ht="14.5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ht="14.5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ht="14.5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ht="14.5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ht="14.5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ht="14.5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ht="14.5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ht="14.5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ht="14.5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ht="14.5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ht="14.5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ht="14.5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ht="14.5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ht="14.5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ht="14.5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ht="14.5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ht="14.5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ht="14.5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ht="14.5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ht="14.5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ht="14.5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ht="14.5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 ht="14.5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 ht="14.5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 ht="14.5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 ht="14.5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 ht="14.5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 ht="14.5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 ht="14.5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 ht="14.5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 ht="14.5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 ht="14.5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 ht="14.5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 ht="14.5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 ht="14.5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 ht="14.5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 ht="14.5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 ht="14.5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 ht="14.5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 ht="14.5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 ht="14.5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 ht="14.5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 ht="14.5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 ht="14.5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 ht="14.5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 ht="14.5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 ht="14.5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 ht="14.5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 ht="14.5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 ht="14.5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 ht="14.5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 ht="14.5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 ht="14.5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 ht="14.5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 ht="14.5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 ht="14.5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 ht="14.5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 ht="14.5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 ht="14.5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 ht="14.5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 ht="14.5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 ht="14.5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 ht="14.5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 ht="14.5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 ht="14.5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 ht="14.5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 ht="14.5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 ht="14.5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 ht="14.5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 ht="14.5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 ht="14.5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 ht="14.5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 ht="14.5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 ht="14.5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 ht="14.5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 ht="14.5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 ht="14.5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 ht="14.5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 ht="14.5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 ht="14.5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 ht="14.5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 ht="14.5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 ht="14.5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 ht="14.5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 ht="14.5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 ht="14.5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 ht="14.5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 ht="14.5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 ht="14.5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 ht="14.5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 ht="14.5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 ht="14.5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 ht="14.5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 ht="14.5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 ht="14.5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 ht="14.5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 ht="14.5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 ht="14.5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 ht="14.5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 ht="14.5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 ht="14.5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 ht="14.5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 ht="14.5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 ht="14.5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 ht="14.5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ht="14.5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ht="14.5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ht="14.5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ht="14.5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ht="14.5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ht="14.5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ht="14.5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ht="14.5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 ht="14.5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 ht="14.5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 ht="14.5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 ht="14.5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 ht="14.5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 ht="14.5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 ht="14.5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 ht="14.5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 ht="14.5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 ht="14.5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 ht="14.5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 ht="14.5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 ht="14.5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 ht="14.5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 ht="14.5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 ht="14.5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 ht="14.5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 ht="14.5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 ht="14.5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 ht="14.5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 ht="14.5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 ht="14.5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 ht="14.5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 ht="14.5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 ht="14.5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 ht="14.5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 ht="14.5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 ht="14.5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 ht="14.5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 ht="14.5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 ht="14.5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 ht="14.5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 ht="14.5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 ht="14.5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 ht="14.5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 ht="14.5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 ht="14.5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 ht="14.5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 ht="14.5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 ht="14.5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 ht="14.5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 ht="14.5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 ht="14.5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 ht="14.5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 ht="14.5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 ht="14.5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 ht="14.5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 ht="14.5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 ht="14.5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 ht="14.5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 ht="14.5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 ht="14.5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 ht="14.5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 ht="14.5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 ht="14.5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 ht="14.5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 ht="14.5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 ht="14.5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 ht="14.5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 ht="14.5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 ht="14.5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 ht="14.5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 ht="14.5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 ht="14.5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 ht="14.5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 ht="14.5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 ht="14.5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 ht="14.5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 ht="14.5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 ht="14.5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 ht="14.5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 ht="14.5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 ht="14.5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 ht="14.5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 ht="14.5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 ht="14.5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 ht="14.5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 ht="14.5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 ht="14.5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 ht="14.5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 ht="14.5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 ht="14.5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 ht="14.5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 ht="14.5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 ht="14.5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 ht="14.5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 ht="14.5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 ht="14.5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 ht="14.5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 ht="14.5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 ht="14.5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 ht="14.5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 ht="14.5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 ht="14.5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 ht="14.5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 ht="14.5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 ht="14.5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 ht="14.5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 ht="14.5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 ht="14.5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 ht="14.5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 ht="14.5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 ht="14.5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 ht="14.5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 ht="14.5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 ht="14.5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 ht="14.5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 ht="14.5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 ht="14.5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 ht="14.5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 ht="14.5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 ht="14.5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 ht="14.5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 ht="14.5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 ht="14.5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 ht="14.5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 ht="14.5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 ht="14.5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 ht="14.5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 ht="14.5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 ht="14.5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 ht="14.5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 ht="14.5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 ht="14.5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 ht="14.5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 ht="14.5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 ht="14.5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 ht="14.5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 ht="14.5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 ht="14.5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 ht="14.5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 ht="14.5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 ht="14.5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 ht="14.5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 ht="14.5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 ht="14.5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 ht="14.5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 ht="14.5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 ht="14.5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 ht="14.5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 ht="14.5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 ht="14.5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 ht="14.5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 ht="14.5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 ht="14.5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 ht="14.5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 ht="14.5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 ht="14.5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 ht="14.5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 ht="14.5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 ht="14.5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 ht="14.5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 ht="14.5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 ht="14.5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 ht="14.5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 ht="14.5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 ht="14.5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 ht="14.5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 ht="14.5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 ht="14.5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 ht="14.5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 ht="14.5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 ht="14.5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 ht="14.5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 ht="14.5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 ht="14.5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 ht="14.5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 ht="14.5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 ht="14.5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 ht="14.5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 ht="14.5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 ht="14.5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 ht="14.5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 ht="14.5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 ht="14.5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 ht="14.5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 ht="14.5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 ht="14.5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 ht="14.5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 ht="14.5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 ht="14.5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 ht="14.5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 ht="14.5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 ht="14.5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 ht="14.5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 ht="14.5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 ht="14.5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 ht="14.5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 ht="14.5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 ht="14.5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 ht="14.5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 ht="14.5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 ht="14.5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 ht="14.5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 ht="14.5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 ht="14.5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 ht="14.5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 ht="14.5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 ht="14.5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 ht="14.5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 ht="14.5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 ht="14.5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 ht="14.5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 ht="14.5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 ht="14.5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 ht="14.5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 ht="14.5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 ht="14.5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 ht="14.5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 ht="14.5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 ht="14.5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 ht="14.5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 ht="14.5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 ht="14.5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 ht="14.5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 ht="14.5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 ht="14.5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 ht="14.5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 ht="14.5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 ht="14.5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 ht="14.5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 ht="14.5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 ht="14.5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 ht="14.5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 ht="14.5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 ht="14.5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 ht="14.5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 ht="14.5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 ht="14.5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 ht="14.5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 ht="14.5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 ht="14.5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 ht="14.5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 ht="14.5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 ht="14.5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 ht="14.5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 ht="14.5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 ht="14.5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 ht="14.5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 ht="14.5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 ht="14.5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 ht="14.5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 ht="14.5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 ht="14.5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 ht="14.5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 ht="14.5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 ht="14.5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 ht="14.5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 ht="14.5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 ht="14.5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 ht="14.5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 ht="14.5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 ht="14.5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 ht="14.5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 ht="14.5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 ht="14.5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 ht="14.5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 ht="14.5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 ht="14.5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 ht="14.5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 ht="14.5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 ht="14.5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 ht="14.5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 ht="14.5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 ht="14.5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 ht="14.5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 ht="14.5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 ht="14.5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 ht="14.5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 ht="14.5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 ht="14.5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 ht="14.5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 ht="14.5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 ht="14.5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 ht="14.5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 ht="14.5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 ht="14.5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 ht="14.5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 ht="14.5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 ht="14.5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 ht="14.5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 ht="14.5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 ht="14.5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 ht="14.5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 ht="14.5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 ht="14.5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 ht="14.5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 ht="14.5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 ht="14.5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 ht="14.5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 ht="14.5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 ht="14.5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 ht="14.5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 ht="14.5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 ht="14.5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 ht="14.5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 ht="14.5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 ht="14.5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 ht="14.5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 ht="14.5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 ht="14.5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 ht="14.5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 ht="14.5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 ht="14.5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 ht="14.5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 ht="14.5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 ht="14.5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 ht="14.5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 ht="14.5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 ht="14.5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 ht="14.5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 ht="14.5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 ht="14.5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 ht="14.5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 ht="14.5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 ht="14.5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 ht="14.5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 ht="14.5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 ht="14.5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 ht="14.5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 ht="14.5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 ht="14.5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 ht="14.5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 ht="14.5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 ht="14.5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 ht="14.5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 ht="14.5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 ht="14.5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 ht="14.5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 ht="14.5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 ht="14.5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 ht="14.5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 ht="14.5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 ht="14.5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 ht="14.5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 ht="14.5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 ht="14.5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 ht="14.5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 ht="14.5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 ht="14.5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 ht="14.5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 ht="14.5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 ht="14.5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 ht="14.5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 ht="14.5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 ht="14.5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 ht="14.5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 ht="14.5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 ht="14.5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 ht="14.5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 ht="14.5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 ht="14.5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 ht="14.5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 ht="14.5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 ht="14.5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 ht="14.5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 ht="14.5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 ht="14.5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 ht="14.5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 ht="14.5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 ht="14.5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 ht="14.5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 ht="14.5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 ht="14.5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 ht="14.5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 ht="14.5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 ht="14.5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 ht="14.5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 ht="14.5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 ht="14.5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 ht="14.5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 ht="14.5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 ht="14.5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 ht="14.5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 ht="14.5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 ht="14.5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 ht="14.5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 ht="14.5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 ht="14.5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 ht="14.5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 ht="14.5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 ht="14.5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 ht="14.5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 ht="14.5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 ht="14.5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 ht="14.5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 ht="14.5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 ht="14.5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 ht="14.5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 ht="14.5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 ht="14.5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 ht="14.5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 ht="14.5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 ht="14.5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 ht="14.5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 ht="14.5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 ht="14.5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</sheetData>
  <printOptions horizontalCentered="1" gridLines="1"/>
  <pageMargins left="0.7" right="0.7" top="1.1437499999999998" bottom="1.1437499999999998" header="0.75" footer="0.75"/>
  <pageSetup paperSize="0" fitToWidth="0" fitToHeight="0" pageOrder="overThenDown" orientation="landscape" horizontalDpi="0" verticalDpi="0" copies="0"/>
  <headerFooter alignWithMargins="0"/>
  <ignoredErrors>
    <ignoredError sqref="J2:J2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'Scoring tables'!$A$2:$A$57</xm:f>
          </x14:formula1>
          <xm:sqref>L1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workbookViewId="0">
      <selection activeCell="M11" sqref="M11"/>
    </sheetView>
  </sheetViews>
  <sheetFormatPr defaultRowHeight="15.75" customHeight="1" x14ac:dyDescent="0.35"/>
  <cols>
    <col min="1" max="1" width="10.4140625" style="25" customWidth="1"/>
    <col min="2" max="2" width="23.58203125" style="25" customWidth="1"/>
    <col min="3" max="3" width="22.4140625" style="25" customWidth="1"/>
    <col min="4" max="11" width="8.4140625" style="25" customWidth="1"/>
    <col min="12" max="1024" width="11.6640625" style="25" customWidth="1"/>
    <col min="1025" max="16384" width="8.6640625" style="25"/>
  </cols>
  <sheetData>
    <row r="1" spans="1:14" ht="30.75" customHeight="1" x14ac:dyDescent="0.35">
      <c r="A1" s="20" t="s">
        <v>0</v>
      </c>
      <c r="B1" s="20" t="s">
        <v>26</v>
      </c>
      <c r="C1" s="20" t="s">
        <v>27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22</v>
      </c>
    </row>
    <row r="2" spans="1:14" ht="14.5" x14ac:dyDescent="0.35">
      <c r="A2" s="16">
        <f ca="1">IFERROR(__xludf.dummyfunction("""COMPUTED_VALUE"""),180)</f>
        <v>180</v>
      </c>
      <c r="B2" s="5" t="str">
        <f ca="1">IFERROR(__xludf.dummyfunction("""COMPUTED_VALUE"""),"Kate Collin")</f>
        <v>Kate Collin</v>
      </c>
      <c r="C2" s="5" t="str">
        <f ca="1">IFERROR(__xludf.dummyfunction("""COMPUTED_VALUE"""),"Queen Elizabeth School")</f>
        <v>Queen Elizabeth School</v>
      </c>
      <c r="D2" s="16" t="s">
        <v>329</v>
      </c>
      <c r="E2" s="22">
        <f ca="1">IFERROR(__xludf.dummyfunction("iferror(1000+INT(($N$2-(index(split(D3,"":""),1)*60+index(split(D3,"":""),2 )))/0.2+1)*$N$3,"""")"),1000)</f>
        <v>1000</v>
      </c>
      <c r="F2" s="16">
        <f ca="1">IFERROR(_xlfn.RANK.EQ(E2,E:E),"")</f>
        <v>1</v>
      </c>
      <c r="G2" s="16" t="s">
        <v>330</v>
      </c>
      <c r="H2" s="22">
        <f ca="1">IFERROR(__xludf.dummyfunction("iferror(1000+INT(($N$4-(index(split(G3,"":""),1)*60+index(split(G3,"":""),2 )))/0.2+1)*$N$5,"""")"),1134)</f>
        <v>1134</v>
      </c>
      <c r="I2" s="16">
        <f ca="1">IFERROR(_xlfn.RANK.EQ(H2,H:H),"")</f>
        <v>1</v>
      </c>
      <c r="J2" s="22">
        <f ca="1">IF(AND(D2="", G2=""), "", E2+H2)</f>
        <v>2134</v>
      </c>
      <c r="K2" s="16">
        <f ca="1">IFERROR(_xlfn.RANK.EQ(J2,J:J),"")</f>
        <v>1</v>
      </c>
      <c r="L2" s="16"/>
      <c r="M2" s="21" t="s">
        <v>38</v>
      </c>
      <c r="N2" s="26">
        <f>VLOOKUP($L$1,'Scoring tables'!$A$2:$K$57,10,0)</f>
        <v>150</v>
      </c>
    </row>
    <row r="3" spans="1:14" ht="14.5" x14ac:dyDescent="0.35">
      <c r="A3" s="16">
        <f ca="1">IFERROR(__xludf.dummyfunction("Query(Entries!$A$2:$U$1205,""select A,C,D where B = '""&amp;L1&amp;""'"")"),178)</f>
        <v>178</v>
      </c>
      <c r="B3" s="5" t="str">
        <f ca="1">IFERROR(__xludf.dummyfunction("""COMPUTED_VALUE"""),"Emma Ashman")</f>
        <v>Emma Ashman</v>
      </c>
      <c r="C3" s="5" t="str">
        <f ca="1">IFERROR(__xludf.dummyfunction("""COMPUTED_VALUE"""),"Royal Grammar School (Tyne and Wear)")</f>
        <v>Royal Grammar School (Tyne and Wear)</v>
      </c>
      <c r="D3" s="16" t="s">
        <v>327</v>
      </c>
      <c r="E3" s="22">
        <f ca="1">IFERROR(__xludf.dummyfunction("iferror(1000+INT(($N$2-(index(split(D2,"":""),1)*60+index(split(D2,"":""),2 )))/0.2+1)*$N$3,"""")"),936)</f>
        <v>936</v>
      </c>
      <c r="F3" s="16">
        <f ca="1">IFERROR(_xlfn.RANK.EQ(E3,E:E),"")</f>
        <v>2</v>
      </c>
      <c r="G3" s="22" t="s">
        <v>328</v>
      </c>
      <c r="H3" s="22">
        <f ca="1">IFERROR(__xludf.dummyfunction("iferror(1000+INT(($N$4-(index(split(G2,"":""),1)*60+index(split(G2,"":""),2 )))/0.2+1)*$N$5,"""")"),1099)</f>
        <v>1099</v>
      </c>
      <c r="I3" s="16">
        <f ca="1">IFERROR(_xlfn.RANK.EQ(H3,H:H),"")</f>
        <v>2</v>
      </c>
      <c r="J3" s="22">
        <f t="shared" ref="J3:J66" ca="1" si="0">IF(AND(D3="", G3=""), "", E3+H3)</f>
        <v>2035</v>
      </c>
      <c r="K3" s="16">
        <f ca="1">IFERROR(_xlfn.RANK.EQ(J3,J:J),"")</f>
        <v>2</v>
      </c>
      <c r="L3" s="16"/>
      <c r="M3" s="21" t="s">
        <v>39</v>
      </c>
      <c r="N3" s="26">
        <f>VLOOKUP($L$1,'Scoring tables'!$A$2:$K$57,11,0)</f>
        <v>2</v>
      </c>
    </row>
    <row r="4" spans="1:14" ht="14.5" x14ac:dyDescent="0.35">
      <c r="A4" s="16"/>
      <c r="B4" s="16"/>
      <c r="C4" s="16"/>
      <c r="D4" s="16"/>
      <c r="E4" s="22" t="str">
        <f ca="1">IFERROR(__xludf.dummyfunction("iferror(1000+INT(($N$2-(index(split(D4,"":""),1)*60+index(split(D4,"":""),2 )))/0.2+1)*$N$3,"""")"),"")</f>
        <v/>
      </c>
      <c r="F4" s="16" t="str">
        <f ca="1">IFERROR(_xlfn.RANK.EQ(E4,E:E),"")</f>
        <v/>
      </c>
      <c r="G4" s="16"/>
      <c r="H4" s="22" t="str">
        <f ca="1">IFERROR(__xludf.dummyfunction("iferror(1000+INT(($N$4-(index(split(G4,"":""),1)*60+index(split(G4,"":""),2 )))/0.2+1)*$N$5,"""")"),"")</f>
        <v/>
      </c>
      <c r="I4" s="16" t="str">
        <f ca="1">IFERROR(_xlfn.RANK.EQ(H4,H:H),"")</f>
        <v/>
      </c>
      <c r="J4" s="22" t="str">
        <f t="shared" si="0"/>
        <v/>
      </c>
      <c r="K4" s="16" t="str">
        <f>IFERROR(_xlfn.RANK.EQ(J4,J:J),"")</f>
        <v/>
      </c>
      <c r="L4" s="16"/>
      <c r="M4" s="21" t="s">
        <v>31</v>
      </c>
      <c r="N4" s="26">
        <f>VLOOKUP($L$1,'Scoring tables'!$A$2:$K$57,5,0)</f>
        <v>375</v>
      </c>
    </row>
    <row r="5" spans="1:14" ht="14.5" x14ac:dyDescent="0.35">
      <c r="A5" s="16"/>
      <c r="B5" s="16"/>
      <c r="C5" s="16"/>
      <c r="D5" s="16"/>
      <c r="E5" s="22" t="str">
        <f ca="1">IFERROR(__xludf.dummyfunction("iferror(1000+INT(($N$2-(index(split(D5,"":""),1)*60+index(split(D5,"":""),2 )))/0.2+1)*$N$3,"""")"),"")</f>
        <v/>
      </c>
      <c r="F5" s="16" t="str">
        <f t="shared" ref="F2:F33" ca="1" si="1">IFERROR(_xlfn.RANK.EQ(E5,E:E),"")</f>
        <v/>
      </c>
      <c r="G5" s="16"/>
      <c r="H5" s="22" t="str">
        <f ca="1">IFERROR(__xludf.dummyfunction("iferror(1000+INT(($N$4-(index(split(G5,"":""),1)*60+index(split(G5,"":""),2 )))/0.2+1)*$N$5,"""")"),"")</f>
        <v/>
      </c>
      <c r="I5" s="16" t="str">
        <f t="shared" ref="I2:I33" ca="1" si="2">IFERROR(_xlfn.RANK.EQ(H5,H:H),"")</f>
        <v/>
      </c>
      <c r="J5" s="22" t="str">
        <f t="shared" si="0"/>
        <v/>
      </c>
      <c r="K5" s="16" t="str">
        <f t="shared" ref="K2:K33" si="3">IFERROR(_xlfn.RANK.EQ(J5,J:J),"")</f>
        <v/>
      </c>
      <c r="L5" s="16"/>
      <c r="M5" s="21" t="s">
        <v>32</v>
      </c>
      <c r="N5" s="26">
        <f>VLOOKUP($L$1,'Scoring tables'!$A$2:$K$57,6,0)</f>
        <v>1</v>
      </c>
    </row>
    <row r="6" spans="1:14" ht="14.5" x14ac:dyDescent="0.35">
      <c r="A6" s="16"/>
      <c r="B6" s="16"/>
      <c r="C6" s="16"/>
      <c r="D6" s="16"/>
      <c r="E6" s="22" t="str">
        <f ca="1">IFERROR(__xludf.dummyfunction("iferror(1000+INT(($N$2-(index(split(D6,"":""),1)*60+index(split(D6,"":""),2 )))/0.2+1)*$N$3,"""")"),"")</f>
        <v/>
      </c>
      <c r="F6" s="16" t="str">
        <f t="shared" ca="1" si="1"/>
        <v/>
      </c>
      <c r="G6" s="16"/>
      <c r="H6" s="22" t="str">
        <f ca="1">IFERROR(__xludf.dummyfunction("iferror(1000+INT(($N$4-(index(split(G6,"":""),1)*60+index(split(G6,"":""),2 )))/0.2+1)*$N$5,"""")"),"")</f>
        <v/>
      </c>
      <c r="I6" s="16" t="str">
        <f t="shared" ca="1" si="2"/>
        <v/>
      </c>
      <c r="J6" s="22" t="str">
        <f t="shared" si="0"/>
        <v/>
      </c>
      <c r="K6" s="16" t="str">
        <f t="shared" si="3"/>
        <v/>
      </c>
      <c r="L6" s="16"/>
    </row>
    <row r="7" spans="1:14" ht="14.5" x14ac:dyDescent="0.35">
      <c r="A7" s="16"/>
      <c r="B7" s="16"/>
      <c r="C7" s="16"/>
      <c r="D7" s="16"/>
      <c r="E7" s="22" t="str">
        <f ca="1">IFERROR(__xludf.dummyfunction("iferror(1000+INT(($N$2-(index(split(D7,"":""),1)*60+index(split(D7,"":""),2 )))/0.2+1)*$N$3,"""")"),"")</f>
        <v/>
      </c>
      <c r="F7" s="16" t="str">
        <f t="shared" ca="1" si="1"/>
        <v/>
      </c>
      <c r="G7" s="16"/>
      <c r="H7" s="22" t="str">
        <f ca="1">IFERROR(__xludf.dummyfunction("iferror(1000+INT(($N$4-(index(split(G7,"":""),1)*60+index(split(G7,"":""),2 )))/0.2+1)*$N$5,"""")"),"")</f>
        <v/>
      </c>
      <c r="I7" s="16" t="str">
        <f t="shared" ca="1" si="2"/>
        <v/>
      </c>
      <c r="J7" s="22" t="str">
        <f t="shared" si="0"/>
        <v/>
      </c>
      <c r="K7" s="16" t="str">
        <f t="shared" si="3"/>
        <v/>
      </c>
      <c r="L7" s="16"/>
    </row>
    <row r="8" spans="1:14" ht="14.5" x14ac:dyDescent="0.35">
      <c r="A8" s="16"/>
      <c r="B8" s="16"/>
      <c r="C8" s="16"/>
      <c r="D8" s="23"/>
      <c r="E8" s="22" t="str">
        <f ca="1">IFERROR(__xludf.dummyfunction("iferror(1000+INT(($N$2-(index(split(D8,"":""),1)*60+index(split(D8,"":""),2 )))/0.2+1)*$N$3,"""")"),"")</f>
        <v/>
      </c>
      <c r="F8" s="16" t="str">
        <f t="shared" ca="1" si="1"/>
        <v/>
      </c>
      <c r="G8" s="16"/>
      <c r="H8" s="22" t="str">
        <f ca="1">IFERROR(__xludf.dummyfunction("iferror(1000+INT(($N$4-(index(split(G8,"":""),1)*60+index(split(G8,"":""),2 )))/0.2+1)*$N$5,"""")"),"")</f>
        <v/>
      </c>
      <c r="I8" s="16" t="str">
        <f t="shared" ca="1" si="2"/>
        <v/>
      </c>
      <c r="J8" s="22" t="str">
        <f t="shared" si="0"/>
        <v/>
      </c>
      <c r="K8" s="16" t="str">
        <f t="shared" si="3"/>
        <v/>
      </c>
      <c r="L8" s="16"/>
    </row>
    <row r="9" spans="1:14" ht="14.5" x14ac:dyDescent="0.35">
      <c r="A9" s="16"/>
      <c r="B9" s="16"/>
      <c r="C9" s="16"/>
      <c r="D9" s="16"/>
      <c r="E9" s="22" t="str">
        <f ca="1">IFERROR(__xludf.dummyfunction("iferror(1000+INT(($N$2-(index(split(D9,"":""),1)*60+index(split(D9,"":""),2 )))/0.2+1)*$N$3,"""")"),"")</f>
        <v/>
      </c>
      <c r="F9" s="16" t="str">
        <f t="shared" ca="1" si="1"/>
        <v/>
      </c>
      <c r="G9" s="16"/>
      <c r="H9" s="22" t="str">
        <f ca="1">IFERROR(__xludf.dummyfunction("iferror(1000+INT(($N$4-(index(split(G9,"":""),1)*60+index(split(G9,"":""),2 )))/0.2+1)*$N$5,"""")"),"")</f>
        <v/>
      </c>
      <c r="I9" s="16" t="str">
        <f t="shared" ca="1" si="2"/>
        <v/>
      </c>
      <c r="J9" s="22" t="str">
        <f t="shared" si="0"/>
        <v/>
      </c>
      <c r="K9" s="16" t="str">
        <f t="shared" si="3"/>
        <v/>
      </c>
      <c r="L9" s="16"/>
    </row>
    <row r="10" spans="1:14" ht="14.5" x14ac:dyDescent="0.35">
      <c r="A10" s="16"/>
      <c r="B10" s="16"/>
      <c r="C10" s="16"/>
      <c r="D10" s="16"/>
      <c r="E10" s="22" t="str">
        <f ca="1">IFERROR(__xludf.dummyfunction("iferror(1000+INT(($N$2-(index(split(D10,"":""),1)*60+index(split(D10,"":""),2 )))/0.2+1)*$N$3,"""")"),"")</f>
        <v/>
      </c>
      <c r="F10" s="16" t="str">
        <f t="shared" ca="1" si="1"/>
        <v/>
      </c>
      <c r="G10" s="16"/>
      <c r="H10" s="22" t="str">
        <f ca="1">IFERROR(__xludf.dummyfunction("iferror(1000+INT(($N$4-(index(split(G10,"":""),1)*60+index(split(G10,"":""),2 )))/0.2+1)*$N$5,"""")"),"")</f>
        <v/>
      </c>
      <c r="I10" s="16" t="str">
        <f t="shared" ca="1" si="2"/>
        <v/>
      </c>
      <c r="J10" s="22" t="str">
        <f t="shared" si="0"/>
        <v/>
      </c>
      <c r="K10" s="16" t="str">
        <f t="shared" si="3"/>
        <v/>
      </c>
      <c r="L10" s="16"/>
    </row>
    <row r="11" spans="1:14" ht="14.5" x14ac:dyDescent="0.35">
      <c r="A11" s="16"/>
      <c r="B11" s="16"/>
      <c r="C11" s="16"/>
      <c r="D11" s="16"/>
      <c r="E11" s="22" t="str">
        <f ca="1">IFERROR(__xludf.dummyfunction("iferror(1000+INT(($N$2-(index(split(D11,"":""),1)*60+index(split(D11,"":""),2 )))/0.2+1)*$N$3,"""")"),"")</f>
        <v/>
      </c>
      <c r="F11" s="16" t="str">
        <f t="shared" ca="1" si="1"/>
        <v/>
      </c>
      <c r="G11" s="16"/>
      <c r="H11" s="22" t="str">
        <f ca="1">IFERROR(__xludf.dummyfunction("iferror(1000+INT(($N$4-(index(split(G11,"":""),1)*60+index(split(G11,"":""),2 )))/0.2+1)*$N$5,"""")"),"")</f>
        <v/>
      </c>
      <c r="I11" s="16" t="str">
        <f t="shared" ca="1" si="2"/>
        <v/>
      </c>
      <c r="J11" s="22" t="str">
        <f t="shared" si="0"/>
        <v/>
      </c>
      <c r="K11" s="16" t="str">
        <f t="shared" si="3"/>
        <v/>
      </c>
      <c r="L11" s="16"/>
    </row>
    <row r="12" spans="1:14" ht="14.5" x14ac:dyDescent="0.35">
      <c r="A12" s="16"/>
      <c r="B12" s="16"/>
      <c r="C12" s="16"/>
      <c r="D12" s="16"/>
      <c r="E12" s="22" t="str">
        <f ca="1">IFERROR(__xludf.dummyfunction("iferror(1000+INT(($N$2-(index(split(D12,"":""),1)*60+index(split(D12,"":""),2 )))/0.2+1)*$N$3,"""")"),"")</f>
        <v/>
      </c>
      <c r="F12" s="16" t="str">
        <f t="shared" ca="1" si="1"/>
        <v/>
      </c>
      <c r="G12" s="16"/>
      <c r="H12" s="22" t="str">
        <f ca="1">IFERROR(__xludf.dummyfunction("iferror(1000+INT(($N$4-(index(split(G12,"":""),1)*60+index(split(G12,"":""),2 )))/0.2+1)*$N$5,"""")"),"")</f>
        <v/>
      </c>
      <c r="I12" s="16" t="str">
        <f t="shared" ca="1" si="2"/>
        <v/>
      </c>
      <c r="J12" s="22" t="str">
        <f t="shared" si="0"/>
        <v/>
      </c>
      <c r="K12" s="16" t="str">
        <f t="shared" si="3"/>
        <v/>
      </c>
      <c r="L12" s="16"/>
    </row>
    <row r="13" spans="1:14" ht="14.5" x14ac:dyDescent="0.35">
      <c r="A13" s="16"/>
      <c r="B13" s="16"/>
      <c r="C13" s="16"/>
      <c r="D13" s="16"/>
      <c r="E13" s="22" t="str">
        <f ca="1">IFERROR(__xludf.dummyfunction("iferror(1000+INT(($N$2-(index(split(D13,"":""),1)*60+index(split(D13,"":""),2 )))/0.2+1)*$N$3,"""")"),"")</f>
        <v/>
      </c>
      <c r="F13" s="16" t="str">
        <f t="shared" ca="1" si="1"/>
        <v/>
      </c>
      <c r="G13" s="16"/>
      <c r="H13" s="22" t="str">
        <f ca="1">IFERROR(__xludf.dummyfunction("iferror(1000+INT(($N$4-(index(split(G13,"":""),1)*60+index(split(G13,"":""),2 )))/0.2+1)*$N$5,"""")"),"")</f>
        <v/>
      </c>
      <c r="I13" s="16" t="str">
        <f t="shared" ca="1" si="2"/>
        <v/>
      </c>
      <c r="J13" s="22" t="str">
        <f t="shared" si="0"/>
        <v/>
      </c>
      <c r="K13" s="16" t="str">
        <f t="shared" si="3"/>
        <v/>
      </c>
      <c r="L13" s="16"/>
    </row>
    <row r="14" spans="1:14" ht="14.5" x14ac:dyDescent="0.35">
      <c r="A14" s="16"/>
      <c r="B14" s="16"/>
      <c r="C14" s="16"/>
      <c r="D14" s="16"/>
      <c r="E14" s="22" t="str">
        <f ca="1">IFERROR(__xludf.dummyfunction("iferror(1000+INT(($N$2-(index(split(D14,"":""),1)*60+index(split(D14,"":""),2 )))/0.2+1)*$N$3,"""")"),"")</f>
        <v/>
      </c>
      <c r="F14" s="16" t="str">
        <f t="shared" ca="1" si="1"/>
        <v/>
      </c>
      <c r="G14" s="16"/>
      <c r="H14" s="22" t="str">
        <f ca="1">IFERROR(__xludf.dummyfunction("iferror(1000+INT(($N$4-(index(split(G14,"":""),1)*60+index(split(G14,"":""),2 )))/0.2+1)*$N$5,"""")"),"")</f>
        <v/>
      </c>
      <c r="I14" s="16" t="str">
        <f t="shared" ca="1" si="2"/>
        <v/>
      </c>
      <c r="J14" s="22" t="str">
        <f t="shared" si="0"/>
        <v/>
      </c>
      <c r="K14" s="16" t="str">
        <f t="shared" si="3"/>
        <v/>
      </c>
      <c r="L14" s="16"/>
    </row>
    <row r="15" spans="1:14" ht="14.5" x14ac:dyDescent="0.35">
      <c r="A15" s="16"/>
      <c r="B15" s="16"/>
      <c r="C15" s="16"/>
      <c r="D15" s="16"/>
      <c r="E15" s="22" t="str">
        <f ca="1">IFERROR(__xludf.dummyfunction("iferror(1000+INT(($N$2-(index(split(D15,"":""),1)*60+index(split(D15,"":""),2 )))/0.2+1)*$N$3,"""")"),"")</f>
        <v/>
      </c>
      <c r="F15" s="16" t="str">
        <f t="shared" ca="1" si="1"/>
        <v/>
      </c>
      <c r="G15" s="16"/>
      <c r="H15" s="22" t="str">
        <f ca="1">IFERROR(__xludf.dummyfunction("iferror(1000+INT(($N$4-(index(split(G15,"":""),1)*60+index(split(G15,"":""),2 )))/0.2+1)*$N$5,"""")"),"")</f>
        <v/>
      </c>
      <c r="I15" s="16" t="str">
        <f t="shared" ca="1" si="2"/>
        <v/>
      </c>
      <c r="J15" s="22" t="str">
        <f t="shared" si="0"/>
        <v/>
      </c>
      <c r="K15" s="16" t="str">
        <f t="shared" si="3"/>
        <v/>
      </c>
      <c r="L15" s="16"/>
    </row>
    <row r="16" spans="1:14" ht="14.5" x14ac:dyDescent="0.35">
      <c r="A16" s="16"/>
      <c r="B16" s="16"/>
      <c r="C16" s="16"/>
      <c r="D16" s="16"/>
      <c r="E16" s="22" t="str">
        <f ca="1">IFERROR(__xludf.dummyfunction("iferror(1000+INT(($N$2-(index(split(D16,"":""),1)*60+index(split(D16,"":""),2 )))/0.2+1)*$N$3,"""")"),"")</f>
        <v/>
      </c>
      <c r="F16" s="16" t="str">
        <f t="shared" ca="1" si="1"/>
        <v/>
      </c>
      <c r="G16" s="16"/>
      <c r="H16" s="22" t="str">
        <f ca="1">IFERROR(__xludf.dummyfunction("iferror(1000+INT(($N$4-(index(split(G16,"":""),1)*60+index(split(G16,"":""),2 )))/0.2+1)*$N$5,"""")"),"")</f>
        <v/>
      </c>
      <c r="I16" s="16" t="str">
        <f t="shared" ca="1" si="2"/>
        <v/>
      </c>
      <c r="J16" s="22" t="str">
        <f t="shared" si="0"/>
        <v/>
      </c>
      <c r="K16" s="16" t="str">
        <f t="shared" si="3"/>
        <v/>
      </c>
      <c r="L16" s="16"/>
    </row>
    <row r="17" spans="1:12" ht="14.5" x14ac:dyDescent="0.35">
      <c r="A17" s="16"/>
      <c r="B17" s="16"/>
      <c r="C17" s="16"/>
      <c r="D17" s="16"/>
      <c r="E17" s="22" t="str">
        <f ca="1">IFERROR(__xludf.dummyfunction("iferror(1000+INT(($N$2-(index(split(D17,"":""),1)*60+index(split(D17,"":""),2 )))/0.2+1)*$N$3,"""")"),"")</f>
        <v/>
      </c>
      <c r="F17" s="16" t="str">
        <f t="shared" ca="1" si="1"/>
        <v/>
      </c>
      <c r="G17" s="16"/>
      <c r="H17" s="22" t="str">
        <f ca="1">IFERROR(__xludf.dummyfunction("iferror(1000+INT(($N$4-(index(split(G17,"":""),1)*60+index(split(G17,"":""),2 )))/0.2+1)*$N$5,"""")"),"")</f>
        <v/>
      </c>
      <c r="I17" s="16" t="str">
        <f t="shared" ca="1" si="2"/>
        <v/>
      </c>
      <c r="J17" s="22" t="str">
        <f t="shared" si="0"/>
        <v/>
      </c>
      <c r="K17" s="16" t="str">
        <f t="shared" si="3"/>
        <v/>
      </c>
      <c r="L17" s="16"/>
    </row>
    <row r="18" spans="1:12" ht="14.5" x14ac:dyDescent="0.35">
      <c r="A18" s="16"/>
      <c r="B18" s="16"/>
      <c r="C18" s="16"/>
      <c r="D18" s="16"/>
      <c r="E18" s="22" t="str">
        <f ca="1">IFERROR(__xludf.dummyfunction("iferror(1000+INT(($N$2-(index(split(D18,"":""),1)*60+index(split(D18,"":""),2 )))/0.2+1)*$N$3,"""")"),"")</f>
        <v/>
      </c>
      <c r="F18" s="16" t="str">
        <f t="shared" ca="1" si="1"/>
        <v/>
      </c>
      <c r="G18" s="16"/>
      <c r="H18" s="22" t="str">
        <f ca="1">IFERROR(__xludf.dummyfunction("iferror(1000+INT(($N$4-(index(split(G18,"":""),1)*60+index(split(G18,"":""),2 )))/0.2+1)*$N$5,"""")"),"")</f>
        <v/>
      </c>
      <c r="I18" s="16" t="str">
        <f t="shared" ca="1" si="2"/>
        <v/>
      </c>
      <c r="J18" s="22" t="str">
        <f t="shared" si="0"/>
        <v/>
      </c>
      <c r="K18" s="16" t="str">
        <f t="shared" si="3"/>
        <v/>
      </c>
      <c r="L18" s="16"/>
    </row>
    <row r="19" spans="1:12" ht="14.5" x14ac:dyDescent="0.35">
      <c r="A19" s="16"/>
      <c r="B19" s="16"/>
      <c r="C19" s="16"/>
      <c r="D19" s="16"/>
      <c r="E19" s="22" t="str">
        <f ca="1">IFERROR(__xludf.dummyfunction("iferror(1000+INT(($N$2-(index(split(D19,"":""),1)*60+index(split(D19,"":""),2 )))/0.2+1)*$N$3,"""")"),"")</f>
        <v/>
      </c>
      <c r="F19" s="16" t="str">
        <f t="shared" ca="1" si="1"/>
        <v/>
      </c>
      <c r="G19" s="16"/>
      <c r="H19" s="22" t="str">
        <f ca="1">IFERROR(__xludf.dummyfunction("iferror(1000+INT(($N$4-(index(split(G19,"":""),1)*60+index(split(G19,"":""),2 )))/0.2+1)*$N$5,"""")"),"")</f>
        <v/>
      </c>
      <c r="I19" s="16" t="str">
        <f t="shared" ca="1" si="2"/>
        <v/>
      </c>
      <c r="J19" s="22" t="str">
        <f t="shared" si="0"/>
        <v/>
      </c>
      <c r="K19" s="16" t="str">
        <f t="shared" si="3"/>
        <v/>
      </c>
      <c r="L19" s="16"/>
    </row>
    <row r="20" spans="1:12" ht="14.5" x14ac:dyDescent="0.35">
      <c r="A20" s="16"/>
      <c r="B20" s="16"/>
      <c r="C20" s="16"/>
      <c r="D20" s="16"/>
      <c r="E20" s="22" t="str">
        <f ca="1">IFERROR(__xludf.dummyfunction("iferror(1000+INT(($N$2-(index(split(D20,"":""),1)*60+index(split(D20,"":""),2 )))/0.2+1)*$N$3,"""")"),"")</f>
        <v/>
      </c>
      <c r="F20" s="16" t="str">
        <f t="shared" ca="1" si="1"/>
        <v/>
      </c>
      <c r="G20" s="16"/>
      <c r="H20" s="22" t="str">
        <f ca="1">IFERROR(__xludf.dummyfunction("iferror(1000+INT(($N$4-(index(split(G20,"":""),1)*60+index(split(G20,"":""),2 )))/0.2+1)*$N$5,"""")"),"")</f>
        <v/>
      </c>
      <c r="I20" s="16" t="str">
        <f t="shared" ca="1" si="2"/>
        <v/>
      </c>
      <c r="J20" s="22" t="str">
        <f t="shared" si="0"/>
        <v/>
      </c>
      <c r="K20" s="16" t="str">
        <f t="shared" si="3"/>
        <v/>
      </c>
      <c r="L20" s="16"/>
    </row>
    <row r="21" spans="1:12" ht="14.5" x14ac:dyDescent="0.35">
      <c r="A21" s="16"/>
      <c r="B21" s="16"/>
      <c r="C21" s="16"/>
      <c r="D21" s="16"/>
      <c r="E21" s="22" t="str">
        <f ca="1">IFERROR(__xludf.dummyfunction("iferror(1000+INT(($N$2-(index(split(D21,"":""),1)*60+index(split(D21,"":""),2 )))/0.2+1)*$N$3,"""")"),"")</f>
        <v/>
      </c>
      <c r="F21" s="16" t="str">
        <f t="shared" ca="1" si="1"/>
        <v/>
      </c>
      <c r="G21" s="16"/>
      <c r="H21" s="22" t="str">
        <f ca="1">IFERROR(__xludf.dummyfunction("iferror(1000+INT(($N$4-(index(split(G21,"":""),1)*60+index(split(G21,"":""),2 )))/0.2+1)*$N$5,"""")"),"")</f>
        <v/>
      </c>
      <c r="I21" s="16" t="str">
        <f t="shared" ca="1" si="2"/>
        <v/>
      </c>
      <c r="J21" s="22" t="str">
        <f t="shared" si="0"/>
        <v/>
      </c>
      <c r="K21" s="16" t="str">
        <f t="shared" si="3"/>
        <v/>
      </c>
      <c r="L21" s="16"/>
    </row>
    <row r="22" spans="1:12" ht="14.5" x14ac:dyDescent="0.35">
      <c r="A22" s="16"/>
      <c r="B22" s="16"/>
      <c r="C22" s="16"/>
      <c r="D22" s="16"/>
      <c r="E22" s="22" t="str">
        <f ca="1">IFERROR(__xludf.dummyfunction("iferror(1000+INT(($N$2-(index(split(D22,"":""),1)*60+index(split(D22,"":""),2 )))/0.2+1)*$N$3,"""")"),"")</f>
        <v/>
      </c>
      <c r="F22" s="16" t="str">
        <f t="shared" ca="1" si="1"/>
        <v/>
      </c>
      <c r="G22" s="16"/>
      <c r="H22" s="22" t="str">
        <f ca="1">IFERROR(__xludf.dummyfunction("iferror(1000+INT(($N$4-(index(split(G22,"":""),1)*60+index(split(G22,"":""),2 )))/0.2+1)*$N$5,"""")"),"")</f>
        <v/>
      </c>
      <c r="I22" s="16" t="str">
        <f t="shared" ca="1" si="2"/>
        <v/>
      </c>
      <c r="J22" s="22" t="str">
        <f t="shared" si="0"/>
        <v/>
      </c>
      <c r="K22" s="16" t="str">
        <f t="shared" si="3"/>
        <v/>
      </c>
      <c r="L22" s="16"/>
    </row>
    <row r="23" spans="1:12" ht="14.5" x14ac:dyDescent="0.35">
      <c r="A23" s="16"/>
      <c r="B23" s="16"/>
      <c r="C23" s="16"/>
      <c r="D23" s="16"/>
      <c r="E23" s="22" t="str">
        <f ca="1">IFERROR(__xludf.dummyfunction("iferror(1000+INT(($N$2-(index(split(D23,"":""),1)*60+index(split(D23,"":""),2 )))/0.2+1)*$N$3,"""")"),"")</f>
        <v/>
      </c>
      <c r="F23" s="16" t="str">
        <f t="shared" ca="1" si="1"/>
        <v/>
      </c>
      <c r="G23" s="16"/>
      <c r="H23" s="22" t="str">
        <f ca="1">IFERROR(__xludf.dummyfunction("iferror(1000+INT(($N$4-(index(split(G23,"":""),1)*60+index(split(G23,"":""),2 )))/0.2+1)*$N$5,"""")"),"")</f>
        <v/>
      </c>
      <c r="I23" s="16" t="str">
        <f t="shared" ca="1" si="2"/>
        <v/>
      </c>
      <c r="J23" s="22" t="str">
        <f t="shared" si="0"/>
        <v/>
      </c>
      <c r="K23" s="16" t="str">
        <f t="shared" si="3"/>
        <v/>
      </c>
      <c r="L23" s="16"/>
    </row>
    <row r="24" spans="1:12" ht="14.5" x14ac:dyDescent="0.35">
      <c r="A24" s="16"/>
      <c r="B24" s="16"/>
      <c r="C24" s="16"/>
      <c r="D24" s="16"/>
      <c r="E24" s="22" t="str">
        <f ca="1">IFERROR(__xludf.dummyfunction("iferror(1000+INT(($N$2-(index(split(D24,"":""),1)*60+index(split(D24,"":""),2 )))/0.2+1)*$N$3,"""")"),"")</f>
        <v/>
      </c>
      <c r="F24" s="16" t="str">
        <f t="shared" ca="1" si="1"/>
        <v/>
      </c>
      <c r="G24" s="16"/>
      <c r="H24" s="22" t="str">
        <f ca="1">IFERROR(__xludf.dummyfunction("iferror(1000+INT(($N$4-(index(split(G24,"":""),1)*60+index(split(G24,"":""),2 )))/0.2+1)*$N$5,"""")"),"")</f>
        <v/>
      </c>
      <c r="I24" s="16" t="str">
        <f t="shared" ca="1" si="2"/>
        <v/>
      </c>
      <c r="J24" s="22" t="str">
        <f t="shared" si="0"/>
        <v/>
      </c>
      <c r="K24" s="16" t="str">
        <f t="shared" si="3"/>
        <v/>
      </c>
      <c r="L24" s="16"/>
    </row>
    <row r="25" spans="1:12" ht="14.5" x14ac:dyDescent="0.35">
      <c r="A25" s="16"/>
      <c r="B25" s="16"/>
      <c r="C25" s="16"/>
      <c r="D25" s="16"/>
      <c r="E25" s="22" t="str">
        <f ca="1">IFERROR(__xludf.dummyfunction("iferror(1000+INT(($N$2-(index(split(D25,"":""),1)*60+index(split(D25,"":""),2 )))/0.2+1)*$N$3,"""")"),"")</f>
        <v/>
      </c>
      <c r="F25" s="16" t="str">
        <f t="shared" ca="1" si="1"/>
        <v/>
      </c>
      <c r="G25" s="16"/>
      <c r="H25" s="22" t="str">
        <f ca="1">IFERROR(__xludf.dummyfunction("iferror(1000+INT(($N$4-(index(split(G25,"":""),1)*60+index(split(G25,"":""),2 )))/0.2+1)*$N$5,"""")"),"")</f>
        <v/>
      </c>
      <c r="I25" s="16" t="str">
        <f t="shared" ca="1" si="2"/>
        <v/>
      </c>
      <c r="J25" s="22" t="str">
        <f t="shared" si="0"/>
        <v/>
      </c>
      <c r="K25" s="16" t="str">
        <f t="shared" si="3"/>
        <v/>
      </c>
      <c r="L25" s="16"/>
    </row>
    <row r="26" spans="1:12" ht="14.5" x14ac:dyDescent="0.35">
      <c r="A26" s="16"/>
      <c r="B26" s="16"/>
      <c r="C26" s="16"/>
      <c r="D26" s="16"/>
      <c r="E26" s="22" t="str">
        <f ca="1">IFERROR(__xludf.dummyfunction("iferror(1000+INT(($N$2-(index(split(D26,"":""),1)*60+index(split(D26,"":""),2 )))/0.2+1)*$N$3,"""")"),"")</f>
        <v/>
      </c>
      <c r="F26" s="16" t="str">
        <f t="shared" ca="1" si="1"/>
        <v/>
      </c>
      <c r="G26" s="16"/>
      <c r="H26" s="22" t="str">
        <f ca="1">IFERROR(__xludf.dummyfunction("iferror(1000+INT(($N$4-(index(split(G26,"":""),1)*60+index(split(G26,"":""),2 )))/0.2+1)*$N$5,"""")"),"")</f>
        <v/>
      </c>
      <c r="I26" s="16" t="str">
        <f t="shared" ca="1" si="2"/>
        <v/>
      </c>
      <c r="J26" s="22" t="str">
        <f t="shared" si="0"/>
        <v/>
      </c>
      <c r="K26" s="16" t="str">
        <f t="shared" si="3"/>
        <v/>
      </c>
      <c r="L26" s="16"/>
    </row>
    <row r="27" spans="1:12" ht="14.5" x14ac:dyDescent="0.35">
      <c r="A27" s="16"/>
      <c r="B27" s="16"/>
      <c r="C27" s="16"/>
      <c r="D27" s="16"/>
      <c r="E27" s="22" t="str">
        <f ca="1">IFERROR(__xludf.dummyfunction("iferror(1000+INT(($N$2-(index(split(D27,"":""),1)*60+index(split(D27,"":""),2 )))/0.2+1)*$N$3,"""")"),"")</f>
        <v/>
      </c>
      <c r="F27" s="16" t="str">
        <f t="shared" ca="1" si="1"/>
        <v/>
      </c>
      <c r="G27" s="16"/>
      <c r="H27" s="22" t="str">
        <f ca="1">IFERROR(__xludf.dummyfunction("iferror(1000+INT(($N$4-(index(split(G27,"":""),1)*60+index(split(G27,"":""),2 )))/0.2+1)*$N$5,"""")"),"")</f>
        <v/>
      </c>
      <c r="I27" s="16" t="str">
        <f t="shared" ca="1" si="2"/>
        <v/>
      </c>
      <c r="J27" s="22" t="str">
        <f t="shared" si="0"/>
        <v/>
      </c>
      <c r="K27" s="16" t="str">
        <f t="shared" si="3"/>
        <v/>
      </c>
      <c r="L27" s="16"/>
    </row>
    <row r="28" spans="1:12" ht="14.5" x14ac:dyDescent="0.35">
      <c r="A28" s="16"/>
      <c r="B28" s="16"/>
      <c r="C28" s="16"/>
      <c r="D28" s="16"/>
      <c r="E28" s="22" t="str">
        <f ca="1">IFERROR(__xludf.dummyfunction("iferror(1000+INT(($N$2-(index(split(D28,"":""),1)*60+index(split(D28,"":""),2 )))/0.2+1)*$N$3,"""")"),"")</f>
        <v/>
      </c>
      <c r="F28" s="16" t="str">
        <f t="shared" ca="1" si="1"/>
        <v/>
      </c>
      <c r="G28" s="16"/>
      <c r="H28" s="22" t="str">
        <f ca="1">IFERROR(__xludf.dummyfunction("iferror(1000+INT(($N$4-(index(split(G28,"":""),1)*60+index(split(G28,"":""),2 )))/0.2+1)*$N$5,"""")"),"")</f>
        <v/>
      </c>
      <c r="I28" s="16" t="str">
        <f t="shared" ca="1" si="2"/>
        <v/>
      </c>
      <c r="J28" s="22" t="str">
        <f t="shared" si="0"/>
        <v/>
      </c>
      <c r="K28" s="16" t="str">
        <f t="shared" si="3"/>
        <v/>
      </c>
      <c r="L28" s="16"/>
    </row>
    <row r="29" spans="1:12" ht="14.5" x14ac:dyDescent="0.35">
      <c r="A29" s="16"/>
      <c r="B29" s="16"/>
      <c r="C29" s="16"/>
      <c r="D29" s="16"/>
      <c r="E29" s="22" t="str">
        <f ca="1">IFERROR(__xludf.dummyfunction("iferror(1000+INT(($N$2-(index(split(D29,"":""),1)*60+index(split(D29,"":""),2 )))/0.2+1)*$N$3,"""")"),"")</f>
        <v/>
      </c>
      <c r="F29" s="16" t="str">
        <f t="shared" ca="1" si="1"/>
        <v/>
      </c>
      <c r="G29" s="16"/>
      <c r="H29" s="22" t="str">
        <f ca="1">IFERROR(__xludf.dummyfunction("iferror(1000+INT(($N$4-(index(split(G29,"":""),1)*60+index(split(G29,"":""),2 )))/0.2+1)*$N$5,"""")"),"")</f>
        <v/>
      </c>
      <c r="I29" s="16" t="str">
        <f t="shared" ca="1" si="2"/>
        <v/>
      </c>
      <c r="J29" s="22" t="str">
        <f t="shared" si="0"/>
        <v/>
      </c>
      <c r="K29" s="16" t="str">
        <f t="shared" si="3"/>
        <v/>
      </c>
      <c r="L29" s="16"/>
    </row>
    <row r="30" spans="1:12" ht="14.5" x14ac:dyDescent="0.35">
      <c r="A30" s="16"/>
      <c r="B30" s="16"/>
      <c r="C30" s="16"/>
      <c r="D30" s="16"/>
      <c r="E30" s="22" t="str">
        <f ca="1">IFERROR(__xludf.dummyfunction("iferror(1000+INT(($N$2-(index(split(D30,"":""),1)*60+index(split(D30,"":""),2 )))/0.2+1)*$N$3,"""")"),"")</f>
        <v/>
      </c>
      <c r="F30" s="16" t="str">
        <f t="shared" ca="1" si="1"/>
        <v/>
      </c>
      <c r="G30" s="16"/>
      <c r="H30" s="22" t="str">
        <f ca="1">IFERROR(__xludf.dummyfunction("iferror(1000+INT(($N$4-(index(split(G30,"":""),1)*60+index(split(G30,"":""),2 )))/0.2+1)*$N$5,"""")"),"")</f>
        <v/>
      </c>
      <c r="I30" s="16" t="str">
        <f t="shared" ca="1" si="2"/>
        <v/>
      </c>
      <c r="J30" s="22" t="str">
        <f t="shared" si="0"/>
        <v/>
      </c>
      <c r="K30" s="16" t="str">
        <f t="shared" si="3"/>
        <v/>
      </c>
      <c r="L30" s="16"/>
    </row>
    <row r="31" spans="1:12" ht="14.5" x14ac:dyDescent="0.35">
      <c r="A31" s="16"/>
      <c r="B31" s="16"/>
      <c r="C31" s="16"/>
      <c r="D31" s="16"/>
      <c r="E31" s="22" t="str">
        <f ca="1">IFERROR(__xludf.dummyfunction("iferror(1000+INT(($N$2-(index(split(D31,"":""),1)*60+index(split(D31,"":""),2 )))/0.2+1)*$N$3,"""")"),"")</f>
        <v/>
      </c>
      <c r="F31" s="16" t="str">
        <f t="shared" ca="1" si="1"/>
        <v/>
      </c>
      <c r="G31" s="16"/>
      <c r="H31" s="22" t="str">
        <f ca="1">IFERROR(__xludf.dummyfunction("iferror(1000+INT(($N$4-(index(split(G31,"":""),1)*60+index(split(G31,"":""),2 )))/0.2+1)*$N$5,"""")"),"")</f>
        <v/>
      </c>
      <c r="I31" s="16" t="str">
        <f t="shared" ca="1" si="2"/>
        <v/>
      </c>
      <c r="J31" s="22" t="str">
        <f t="shared" si="0"/>
        <v/>
      </c>
      <c r="K31" s="16" t="str">
        <f t="shared" si="3"/>
        <v/>
      </c>
      <c r="L31" s="16"/>
    </row>
    <row r="32" spans="1:12" ht="14.5" x14ac:dyDescent="0.35">
      <c r="A32" s="16"/>
      <c r="B32" s="16"/>
      <c r="C32" s="16"/>
      <c r="D32" s="16"/>
      <c r="E32" s="22" t="str">
        <f ca="1">IFERROR(__xludf.dummyfunction("iferror(1000+INT(($N$2-(index(split(D32,"":""),1)*60+index(split(D32,"":""),2 )))/0.2+1)*$N$3,"""")"),"")</f>
        <v/>
      </c>
      <c r="F32" s="16" t="str">
        <f t="shared" ca="1" si="1"/>
        <v/>
      </c>
      <c r="G32" s="16"/>
      <c r="H32" s="22" t="str">
        <f ca="1">IFERROR(__xludf.dummyfunction("iferror(1000+INT(($N$4-(index(split(G32,"":""),1)*60+index(split(G32,"":""),2 )))/0.2+1)*$N$5,"""")"),"")</f>
        <v/>
      </c>
      <c r="I32" s="16" t="str">
        <f t="shared" ca="1" si="2"/>
        <v/>
      </c>
      <c r="J32" s="22" t="str">
        <f t="shared" si="0"/>
        <v/>
      </c>
      <c r="K32" s="16" t="str">
        <f t="shared" si="3"/>
        <v/>
      </c>
      <c r="L32" s="16"/>
    </row>
    <row r="33" spans="1:12" ht="14.5" x14ac:dyDescent="0.35">
      <c r="A33" s="16"/>
      <c r="B33" s="16"/>
      <c r="C33" s="16"/>
      <c r="D33" s="16"/>
      <c r="E33" s="22" t="str">
        <f ca="1">IFERROR(__xludf.dummyfunction("iferror(1000+INT(($N$2-(index(split(D33,"":""),1)*60+index(split(D33,"":""),2 )))/0.2+1)*$N$3,"""")"),"")</f>
        <v/>
      </c>
      <c r="F33" s="16" t="str">
        <f t="shared" ca="1" si="1"/>
        <v/>
      </c>
      <c r="G33" s="16"/>
      <c r="H33" s="22" t="str">
        <f ca="1">IFERROR(__xludf.dummyfunction("iferror(1000+INT(($N$4-(index(split(G33,"":""),1)*60+index(split(G33,"":""),2 )))/0.2+1)*$N$5,"""")"),"")</f>
        <v/>
      </c>
      <c r="I33" s="16" t="str">
        <f t="shared" ca="1" si="2"/>
        <v/>
      </c>
      <c r="J33" s="22" t="str">
        <f t="shared" si="0"/>
        <v/>
      </c>
      <c r="K33" s="16" t="str">
        <f t="shared" si="3"/>
        <v/>
      </c>
      <c r="L33" s="16"/>
    </row>
    <row r="34" spans="1:12" ht="14.5" x14ac:dyDescent="0.35">
      <c r="A34" s="16"/>
      <c r="B34" s="16"/>
      <c r="C34" s="16"/>
      <c r="D34" s="16"/>
      <c r="E34" s="22" t="str">
        <f ca="1">IFERROR(__xludf.dummyfunction("iferror(1000+INT(($N$2-(index(split(D34,"":""),1)*60+index(split(D34,"":""),2 )))/0.2+1)*$N$3,"""")"),"")</f>
        <v/>
      </c>
      <c r="F34" s="16" t="str">
        <f t="shared" ref="F34:F65" ca="1" si="4">IFERROR(_xlfn.RANK.EQ(E34,E:E),"")</f>
        <v/>
      </c>
      <c r="G34" s="16"/>
      <c r="H34" s="22" t="str">
        <f ca="1">IFERROR(__xludf.dummyfunction("iferror(1000+INT(($N$4-(index(split(G34,"":""),1)*60+index(split(G34,"":""),2 )))/0.2+1)*$N$5,"""")"),"")</f>
        <v/>
      </c>
      <c r="I34" s="16" t="str">
        <f t="shared" ref="I34:I65" ca="1" si="5">IFERROR(_xlfn.RANK.EQ(H34,H:H),"")</f>
        <v/>
      </c>
      <c r="J34" s="22" t="str">
        <f t="shared" si="0"/>
        <v/>
      </c>
      <c r="K34" s="16" t="str">
        <f t="shared" ref="K34:K65" si="6">IFERROR(_xlfn.RANK.EQ(J34,J:J),"")</f>
        <v/>
      </c>
      <c r="L34" s="16"/>
    </row>
    <row r="35" spans="1:12" ht="14.5" x14ac:dyDescent="0.35">
      <c r="A35" s="16"/>
      <c r="B35" s="16"/>
      <c r="C35" s="16"/>
      <c r="D35" s="16"/>
      <c r="E35" s="22" t="str">
        <f ca="1">IFERROR(__xludf.dummyfunction("iferror(1000+INT(($N$2-(index(split(D35,"":""),1)*60+index(split(D35,"":""),2 )))/0.2+1)*$N$3,"""")"),"")</f>
        <v/>
      </c>
      <c r="F35" s="16" t="str">
        <f t="shared" ca="1" si="4"/>
        <v/>
      </c>
      <c r="G35" s="16"/>
      <c r="H35" s="22" t="str">
        <f ca="1">IFERROR(__xludf.dummyfunction("iferror(1000+INT(($N$4-(index(split(G35,"":""),1)*60+index(split(G35,"":""),2 )))/0.2+1)*$N$5,"""")"),"")</f>
        <v/>
      </c>
      <c r="I35" s="16" t="str">
        <f t="shared" ca="1" si="5"/>
        <v/>
      </c>
      <c r="J35" s="22" t="str">
        <f t="shared" si="0"/>
        <v/>
      </c>
      <c r="K35" s="16" t="str">
        <f t="shared" si="6"/>
        <v/>
      </c>
      <c r="L35" s="16"/>
    </row>
    <row r="36" spans="1:12" ht="14.5" x14ac:dyDescent="0.35">
      <c r="A36" s="16"/>
      <c r="B36" s="16"/>
      <c r="C36" s="16"/>
      <c r="D36" s="16"/>
      <c r="E36" s="22" t="str">
        <f ca="1">IFERROR(__xludf.dummyfunction("iferror(1000+INT(($N$2-(index(split(D36,"":""),1)*60+index(split(D36,"":""),2 )))/0.2+1)*$N$3,"""")"),"")</f>
        <v/>
      </c>
      <c r="F36" s="16" t="str">
        <f t="shared" ca="1" si="4"/>
        <v/>
      </c>
      <c r="G36" s="16"/>
      <c r="H36" s="22" t="str">
        <f ca="1">IFERROR(__xludf.dummyfunction("iferror(1000+INT(($N$4-(index(split(G36,"":""),1)*60+index(split(G36,"":""),2 )))/0.2+1)*$N$5,"""")"),"")</f>
        <v/>
      </c>
      <c r="I36" s="16" t="str">
        <f t="shared" ca="1" si="5"/>
        <v/>
      </c>
      <c r="J36" s="22" t="str">
        <f t="shared" si="0"/>
        <v/>
      </c>
      <c r="K36" s="16" t="str">
        <f t="shared" si="6"/>
        <v/>
      </c>
      <c r="L36" s="16"/>
    </row>
    <row r="37" spans="1:12" ht="14.5" x14ac:dyDescent="0.35">
      <c r="A37" s="16"/>
      <c r="B37" s="16"/>
      <c r="C37" s="16"/>
      <c r="D37" s="16"/>
      <c r="E37" s="22" t="str">
        <f ca="1">IFERROR(__xludf.dummyfunction("iferror(1000+INT(($N$2-(index(split(D37,"":""),1)*60+index(split(D37,"":""),2 )))/0.2+1)*$N$3,"""")"),"")</f>
        <v/>
      </c>
      <c r="F37" s="16" t="str">
        <f t="shared" ca="1" si="4"/>
        <v/>
      </c>
      <c r="G37" s="16"/>
      <c r="H37" s="22" t="str">
        <f ca="1">IFERROR(__xludf.dummyfunction("iferror(1000+INT(($N$4-(index(split(G37,"":""),1)*60+index(split(G37,"":""),2 )))/0.2+1)*$N$5,"""")"),"")</f>
        <v/>
      </c>
      <c r="I37" s="16" t="str">
        <f t="shared" ca="1" si="5"/>
        <v/>
      </c>
      <c r="J37" s="22" t="str">
        <f t="shared" si="0"/>
        <v/>
      </c>
      <c r="K37" s="16" t="str">
        <f t="shared" si="6"/>
        <v/>
      </c>
      <c r="L37" s="16"/>
    </row>
    <row r="38" spans="1:12" ht="14.5" x14ac:dyDescent="0.35">
      <c r="A38" s="16"/>
      <c r="B38" s="16"/>
      <c r="C38" s="16"/>
      <c r="D38" s="16"/>
      <c r="E38" s="22" t="str">
        <f ca="1">IFERROR(__xludf.dummyfunction("iferror(1000+INT(($N$2-(index(split(D38,"":""),1)*60+index(split(D38,"":""),2 )))/0.2+1)*$N$3,"""")"),"")</f>
        <v/>
      </c>
      <c r="F38" s="16" t="str">
        <f t="shared" ca="1" si="4"/>
        <v/>
      </c>
      <c r="G38" s="16"/>
      <c r="H38" s="22" t="str">
        <f ca="1">IFERROR(__xludf.dummyfunction("iferror(1000+INT(($N$4-(index(split(G38,"":""),1)*60+index(split(G38,"":""),2 )))/0.2+1)*$N$5,"""")"),"")</f>
        <v/>
      </c>
      <c r="I38" s="16" t="str">
        <f t="shared" ca="1" si="5"/>
        <v/>
      </c>
      <c r="J38" s="22" t="str">
        <f t="shared" si="0"/>
        <v/>
      </c>
      <c r="K38" s="16" t="str">
        <f t="shared" si="6"/>
        <v/>
      </c>
      <c r="L38" s="16"/>
    </row>
    <row r="39" spans="1:12" ht="14.5" x14ac:dyDescent="0.35">
      <c r="A39" s="16"/>
      <c r="B39" s="16"/>
      <c r="C39" s="16"/>
      <c r="D39" s="16"/>
      <c r="E39" s="22" t="str">
        <f ca="1">IFERROR(__xludf.dummyfunction("iferror(1000+INT(($N$2-(index(split(D39,"":""),1)*60+index(split(D39,"":""),2 )))/0.2+1)*$N$3,"""")"),"")</f>
        <v/>
      </c>
      <c r="F39" s="16" t="str">
        <f t="shared" ca="1" si="4"/>
        <v/>
      </c>
      <c r="G39" s="16"/>
      <c r="H39" s="22" t="str">
        <f ca="1">IFERROR(__xludf.dummyfunction("iferror(1000+INT(($N$4-(index(split(G39,"":""),1)*60+index(split(G39,"":""),2 )))/0.2+1)*$N$5,"""")"),"")</f>
        <v/>
      </c>
      <c r="I39" s="16" t="str">
        <f t="shared" ca="1" si="5"/>
        <v/>
      </c>
      <c r="J39" s="22" t="str">
        <f t="shared" si="0"/>
        <v/>
      </c>
      <c r="K39" s="16" t="str">
        <f t="shared" si="6"/>
        <v/>
      </c>
      <c r="L39" s="16"/>
    </row>
    <row r="40" spans="1:12" ht="14.5" x14ac:dyDescent="0.35">
      <c r="A40" s="16"/>
      <c r="B40" s="16"/>
      <c r="C40" s="16"/>
      <c r="D40" s="16"/>
      <c r="E40" s="22" t="str">
        <f ca="1">IFERROR(__xludf.dummyfunction("iferror(1000+INT(($N$2-(index(split(D40,"":""),1)*60+index(split(D40,"":""),2 )))/0.2+1)*$N$3,"""")"),"")</f>
        <v/>
      </c>
      <c r="F40" s="16" t="str">
        <f t="shared" ca="1" si="4"/>
        <v/>
      </c>
      <c r="G40" s="16"/>
      <c r="H40" s="22" t="str">
        <f ca="1">IFERROR(__xludf.dummyfunction("iferror(1000+INT(($N$4-(index(split(G40,"":""),1)*60+index(split(G40,"":""),2 )))/0.2+1)*$N$5,"""")"),"")</f>
        <v/>
      </c>
      <c r="I40" s="16" t="str">
        <f t="shared" ca="1" si="5"/>
        <v/>
      </c>
      <c r="J40" s="22" t="str">
        <f t="shared" si="0"/>
        <v/>
      </c>
      <c r="K40" s="16" t="str">
        <f t="shared" si="6"/>
        <v/>
      </c>
      <c r="L40" s="16"/>
    </row>
    <row r="41" spans="1:12" ht="14.5" x14ac:dyDescent="0.35">
      <c r="A41" s="16"/>
      <c r="B41" s="16"/>
      <c r="C41" s="16"/>
      <c r="D41" s="16"/>
      <c r="E41" s="22" t="str">
        <f ca="1">IFERROR(__xludf.dummyfunction("iferror(1000+INT(($N$2-(index(split(D41,"":""),1)*60+index(split(D41,"":""),2 )))/0.2+1)*$N$3,"""")"),"")</f>
        <v/>
      </c>
      <c r="F41" s="16" t="str">
        <f t="shared" ca="1" si="4"/>
        <v/>
      </c>
      <c r="G41" s="16"/>
      <c r="H41" s="22" t="str">
        <f ca="1">IFERROR(__xludf.dummyfunction("iferror(1000+INT(($N$4-(index(split(G41,"":""),1)*60+index(split(G41,"":""),2 )))/0.2+1)*$N$5,"""")"),"")</f>
        <v/>
      </c>
      <c r="I41" s="16" t="str">
        <f t="shared" ca="1" si="5"/>
        <v/>
      </c>
      <c r="J41" s="22" t="str">
        <f t="shared" si="0"/>
        <v/>
      </c>
      <c r="K41" s="16" t="str">
        <f t="shared" si="6"/>
        <v/>
      </c>
      <c r="L41" s="16"/>
    </row>
    <row r="42" spans="1:12" ht="14.5" x14ac:dyDescent="0.35">
      <c r="A42" s="16"/>
      <c r="B42" s="16"/>
      <c r="C42" s="16"/>
      <c r="D42" s="16"/>
      <c r="E42" s="22" t="str">
        <f ca="1">IFERROR(__xludf.dummyfunction("iferror(1000+INT(($N$2-(index(split(D42,"":""),1)*60+index(split(D42,"":""),2 )))/0.2+1)*$N$3,"""")"),"")</f>
        <v/>
      </c>
      <c r="F42" s="16" t="str">
        <f t="shared" ca="1" si="4"/>
        <v/>
      </c>
      <c r="G42" s="16"/>
      <c r="H42" s="22" t="str">
        <f ca="1">IFERROR(__xludf.dummyfunction("iferror(1000+INT(($N$4-(index(split(G42,"":""),1)*60+index(split(G42,"":""),2 )))/0.2+1)*$N$5,"""")"),"")</f>
        <v/>
      </c>
      <c r="I42" s="16" t="str">
        <f t="shared" ca="1" si="5"/>
        <v/>
      </c>
      <c r="J42" s="22" t="str">
        <f t="shared" si="0"/>
        <v/>
      </c>
      <c r="K42" s="16" t="str">
        <f t="shared" si="6"/>
        <v/>
      </c>
      <c r="L42" s="16"/>
    </row>
    <row r="43" spans="1:12" ht="14.5" x14ac:dyDescent="0.35">
      <c r="A43" s="16"/>
      <c r="B43" s="16"/>
      <c r="C43" s="16"/>
      <c r="D43" s="16"/>
      <c r="E43" s="22" t="str">
        <f ca="1">IFERROR(__xludf.dummyfunction("iferror(1000+INT(($N$2-(index(split(D43,"":""),1)*60+index(split(D43,"":""),2 )))/0.2+1)*$N$3,"""")"),"")</f>
        <v/>
      </c>
      <c r="F43" s="16" t="str">
        <f t="shared" ca="1" si="4"/>
        <v/>
      </c>
      <c r="G43" s="16"/>
      <c r="H43" s="22" t="str">
        <f ca="1">IFERROR(__xludf.dummyfunction("iferror(1000+INT(($N$4-(index(split(G43,"":""),1)*60+index(split(G43,"":""),2 )))/0.2+1)*$N$5,"""")"),"")</f>
        <v/>
      </c>
      <c r="I43" s="16" t="str">
        <f t="shared" ca="1" si="5"/>
        <v/>
      </c>
      <c r="J43" s="22" t="str">
        <f t="shared" si="0"/>
        <v/>
      </c>
      <c r="K43" s="16" t="str">
        <f t="shared" si="6"/>
        <v/>
      </c>
      <c r="L43" s="16"/>
    </row>
    <row r="44" spans="1:12" ht="14.5" x14ac:dyDescent="0.35">
      <c r="A44" s="16"/>
      <c r="B44" s="16"/>
      <c r="C44" s="16"/>
      <c r="D44" s="16"/>
      <c r="E44" s="22" t="str">
        <f ca="1">IFERROR(__xludf.dummyfunction("iferror(1000+INT(($N$2-(index(split(D44,"":""),1)*60+index(split(D44,"":""),2 )))/0.2+1)*$N$3,"""")"),"")</f>
        <v/>
      </c>
      <c r="F44" s="16" t="str">
        <f t="shared" ca="1" si="4"/>
        <v/>
      </c>
      <c r="G44" s="16"/>
      <c r="H44" s="22" t="str">
        <f ca="1">IFERROR(__xludf.dummyfunction("iferror(1000+INT(($N$4-(index(split(G44,"":""),1)*60+index(split(G44,"":""),2 )))/0.2+1)*$N$5,"""")"),"")</f>
        <v/>
      </c>
      <c r="I44" s="16" t="str">
        <f t="shared" ca="1" si="5"/>
        <v/>
      </c>
      <c r="J44" s="22" t="str">
        <f t="shared" si="0"/>
        <v/>
      </c>
      <c r="K44" s="16" t="str">
        <f t="shared" si="6"/>
        <v/>
      </c>
      <c r="L44" s="16"/>
    </row>
    <row r="45" spans="1:12" ht="14.5" x14ac:dyDescent="0.35">
      <c r="A45" s="16"/>
      <c r="B45" s="16"/>
      <c r="C45" s="16"/>
      <c r="D45" s="16"/>
      <c r="E45" s="22" t="str">
        <f ca="1">IFERROR(__xludf.dummyfunction("iferror(1000+INT(($N$2-(index(split(D45,"":""),1)*60+index(split(D45,"":""),2 )))/0.2+1)*$N$3,"""")"),"")</f>
        <v/>
      </c>
      <c r="F45" s="16" t="str">
        <f t="shared" ca="1" si="4"/>
        <v/>
      </c>
      <c r="G45" s="16"/>
      <c r="H45" s="22" t="str">
        <f ca="1">IFERROR(__xludf.dummyfunction("iferror(1000+INT(($N$4-(index(split(G45,"":""),1)*60+index(split(G45,"":""),2 )))/0.2+1)*$N$5,"""")"),"")</f>
        <v/>
      </c>
      <c r="I45" s="16" t="str">
        <f t="shared" ca="1" si="5"/>
        <v/>
      </c>
      <c r="J45" s="22" t="str">
        <f t="shared" si="0"/>
        <v/>
      </c>
      <c r="K45" s="16" t="str">
        <f t="shared" si="6"/>
        <v/>
      </c>
      <c r="L45" s="16"/>
    </row>
    <row r="46" spans="1:12" ht="14.5" x14ac:dyDescent="0.35">
      <c r="A46" s="16"/>
      <c r="B46" s="16"/>
      <c r="C46" s="16"/>
      <c r="D46" s="16"/>
      <c r="E46" s="22" t="str">
        <f ca="1">IFERROR(__xludf.dummyfunction("iferror(1000+INT(($N$2-(index(split(D46,"":""),1)*60+index(split(D46,"":""),2 )))/0.2+1)*$N$3,"""")"),"")</f>
        <v/>
      </c>
      <c r="F46" s="16" t="str">
        <f t="shared" ca="1" si="4"/>
        <v/>
      </c>
      <c r="G46" s="16"/>
      <c r="H46" s="22" t="str">
        <f ca="1">IFERROR(__xludf.dummyfunction("iferror(1000+INT(($N$4-(index(split(G46,"":""),1)*60+index(split(G46,"":""),2 )))/0.2+1)*$N$5,"""")"),"")</f>
        <v/>
      </c>
      <c r="I46" s="16" t="str">
        <f t="shared" ca="1" si="5"/>
        <v/>
      </c>
      <c r="J46" s="22" t="str">
        <f t="shared" si="0"/>
        <v/>
      </c>
      <c r="K46" s="16" t="str">
        <f t="shared" si="6"/>
        <v/>
      </c>
      <c r="L46" s="16"/>
    </row>
    <row r="47" spans="1:12" ht="14.5" x14ac:dyDescent="0.35">
      <c r="A47" s="16"/>
      <c r="B47" s="16"/>
      <c r="C47" s="16"/>
      <c r="D47" s="16"/>
      <c r="E47" s="22" t="str">
        <f ca="1">IFERROR(__xludf.dummyfunction("iferror(1000+INT(($N$2-(index(split(D47,"":""),1)*60+index(split(D47,"":""),2 )))/0.2+1)*$N$3,"""")"),"")</f>
        <v/>
      </c>
      <c r="F47" s="16" t="str">
        <f t="shared" ca="1" si="4"/>
        <v/>
      </c>
      <c r="G47" s="16"/>
      <c r="H47" s="22" t="str">
        <f ca="1">IFERROR(__xludf.dummyfunction("iferror(1000+INT(($N$4-(index(split(G47,"":""),1)*60+index(split(G47,"":""),2 )))/0.2+1)*$N$5,"""")"),"")</f>
        <v/>
      </c>
      <c r="I47" s="16" t="str">
        <f t="shared" ca="1" si="5"/>
        <v/>
      </c>
      <c r="J47" s="22" t="str">
        <f t="shared" si="0"/>
        <v/>
      </c>
      <c r="K47" s="16" t="str">
        <f t="shared" si="6"/>
        <v/>
      </c>
      <c r="L47" s="16"/>
    </row>
    <row r="48" spans="1:12" ht="14.5" x14ac:dyDescent="0.35">
      <c r="A48" s="16"/>
      <c r="B48" s="16"/>
      <c r="C48" s="16"/>
      <c r="D48" s="16"/>
      <c r="E48" s="22" t="str">
        <f ca="1">IFERROR(__xludf.dummyfunction("iferror(1000+INT(($N$2-(index(split(D48,"":""),1)*60+index(split(D48,"":""),2 )))/0.2+1)*$N$3,"""")"),"")</f>
        <v/>
      </c>
      <c r="F48" s="16" t="str">
        <f t="shared" ca="1" si="4"/>
        <v/>
      </c>
      <c r="G48" s="16"/>
      <c r="H48" s="22" t="str">
        <f ca="1">IFERROR(__xludf.dummyfunction("iferror(1000+INT(($N$4-(index(split(G48,"":""),1)*60+index(split(G48,"":""),2 )))/0.2+1)*$N$5,"""")"),"")</f>
        <v/>
      </c>
      <c r="I48" s="16" t="str">
        <f t="shared" ca="1" si="5"/>
        <v/>
      </c>
      <c r="J48" s="22" t="str">
        <f t="shared" si="0"/>
        <v/>
      </c>
      <c r="K48" s="16" t="str">
        <f t="shared" si="6"/>
        <v/>
      </c>
      <c r="L48" s="16"/>
    </row>
    <row r="49" spans="1:12" ht="14.5" x14ac:dyDescent="0.35">
      <c r="A49" s="16"/>
      <c r="B49" s="16"/>
      <c r="C49" s="16"/>
      <c r="D49" s="16"/>
      <c r="E49" s="22" t="str">
        <f ca="1">IFERROR(__xludf.dummyfunction("iferror(1000+INT(($N$2-(index(split(D49,"":""),1)*60+index(split(D49,"":""),2 )))/0.2+1)*$N$3,"""")"),"")</f>
        <v/>
      </c>
      <c r="F49" s="16" t="str">
        <f t="shared" ca="1" si="4"/>
        <v/>
      </c>
      <c r="G49" s="16"/>
      <c r="H49" s="22" t="str">
        <f ca="1">IFERROR(__xludf.dummyfunction("iferror(1000+INT(($N$4-(index(split(G49,"":""),1)*60+index(split(G49,"":""),2 )))/0.2+1)*$N$5,"""")"),"")</f>
        <v/>
      </c>
      <c r="I49" s="16" t="str">
        <f t="shared" ca="1" si="5"/>
        <v/>
      </c>
      <c r="J49" s="22" t="str">
        <f t="shared" si="0"/>
        <v/>
      </c>
      <c r="K49" s="16" t="str">
        <f t="shared" si="6"/>
        <v/>
      </c>
      <c r="L49" s="16"/>
    </row>
    <row r="50" spans="1:12" ht="14.5" x14ac:dyDescent="0.35">
      <c r="A50" s="16"/>
      <c r="B50" s="16"/>
      <c r="C50" s="16"/>
      <c r="D50" s="16"/>
      <c r="E50" s="22" t="str">
        <f ca="1">IFERROR(__xludf.dummyfunction("iferror(1000+INT(($N$2-(index(split(D50,"":""),1)*60+index(split(D50,"":""),2 )))/0.2+1)*$N$3,"""")"),"")</f>
        <v/>
      </c>
      <c r="F50" s="16" t="str">
        <f t="shared" ca="1" si="4"/>
        <v/>
      </c>
      <c r="G50" s="16"/>
      <c r="H50" s="22" t="str">
        <f ca="1">IFERROR(__xludf.dummyfunction("iferror(1000+INT(($N$4-(index(split(G50,"":""),1)*60+index(split(G50,"":""),2 )))/0.2+1)*$N$5,"""")"),"")</f>
        <v/>
      </c>
      <c r="I50" s="16" t="str">
        <f t="shared" ca="1" si="5"/>
        <v/>
      </c>
      <c r="J50" s="22" t="str">
        <f t="shared" si="0"/>
        <v/>
      </c>
      <c r="K50" s="16" t="str">
        <f t="shared" si="6"/>
        <v/>
      </c>
      <c r="L50" s="16"/>
    </row>
    <row r="51" spans="1:12" ht="14.5" x14ac:dyDescent="0.35">
      <c r="A51" s="16"/>
      <c r="B51" s="16"/>
      <c r="C51" s="16"/>
      <c r="D51" s="16"/>
      <c r="E51" s="22" t="str">
        <f ca="1">IFERROR(__xludf.dummyfunction("iferror(1000+INT(($N$2-(index(split(D51,"":""),1)*60+index(split(D51,"":""),2 )))/0.2+1)*$N$3,"""")"),"")</f>
        <v/>
      </c>
      <c r="F51" s="16" t="str">
        <f t="shared" ca="1" si="4"/>
        <v/>
      </c>
      <c r="G51" s="16"/>
      <c r="H51" s="22" t="str">
        <f ca="1">IFERROR(__xludf.dummyfunction("iferror(1000+INT(($N$4-(index(split(G51,"":""),1)*60+index(split(G51,"":""),2 )))/0.2+1)*$N$5,"""")"),"")</f>
        <v/>
      </c>
      <c r="I51" s="16" t="str">
        <f t="shared" ca="1" si="5"/>
        <v/>
      </c>
      <c r="J51" s="22" t="str">
        <f t="shared" si="0"/>
        <v/>
      </c>
      <c r="K51" s="16" t="str">
        <f t="shared" si="6"/>
        <v/>
      </c>
      <c r="L51" s="16"/>
    </row>
    <row r="52" spans="1:12" ht="14.5" x14ac:dyDescent="0.35">
      <c r="A52" s="16"/>
      <c r="B52" s="16"/>
      <c r="C52" s="16"/>
      <c r="D52" s="16"/>
      <c r="E52" s="22" t="str">
        <f ca="1">IFERROR(__xludf.dummyfunction("iferror(1000+INT(($N$2-(index(split(D52,"":""),1)*60+index(split(D52,"":""),2 )))/0.2+1)*$N$3,"""")"),"")</f>
        <v/>
      </c>
      <c r="F52" s="16" t="str">
        <f t="shared" ca="1" si="4"/>
        <v/>
      </c>
      <c r="G52" s="16"/>
      <c r="H52" s="22" t="str">
        <f ca="1">IFERROR(__xludf.dummyfunction("iferror(1000+INT(($N$4-(index(split(G52,"":""),1)*60+index(split(G52,"":""),2 )))/0.2+1)*$N$5,"""")"),"")</f>
        <v/>
      </c>
      <c r="I52" s="16" t="str">
        <f t="shared" ca="1" si="5"/>
        <v/>
      </c>
      <c r="J52" s="22" t="str">
        <f t="shared" si="0"/>
        <v/>
      </c>
      <c r="K52" s="16" t="str">
        <f t="shared" si="6"/>
        <v/>
      </c>
      <c r="L52" s="16"/>
    </row>
    <row r="53" spans="1:12" ht="14.5" x14ac:dyDescent="0.35">
      <c r="A53" s="16"/>
      <c r="B53" s="16"/>
      <c r="C53" s="16"/>
      <c r="D53" s="16"/>
      <c r="E53" s="22" t="str">
        <f ca="1">IFERROR(__xludf.dummyfunction("iferror(1000+INT(($N$2-(index(split(D53,"":""),1)*60+index(split(D53,"":""),2 )))/0.2+1)*$N$3,"""")"),"")</f>
        <v/>
      </c>
      <c r="F53" s="16" t="str">
        <f t="shared" ca="1" si="4"/>
        <v/>
      </c>
      <c r="G53" s="16"/>
      <c r="H53" s="22" t="str">
        <f ca="1">IFERROR(__xludf.dummyfunction("iferror(1000+INT(($N$4-(index(split(G53,"":""),1)*60+index(split(G53,"":""),2 )))/0.2+1)*$N$5,"""")"),"")</f>
        <v/>
      </c>
      <c r="I53" s="16" t="str">
        <f t="shared" ca="1" si="5"/>
        <v/>
      </c>
      <c r="J53" s="22" t="str">
        <f t="shared" si="0"/>
        <v/>
      </c>
      <c r="K53" s="16" t="str">
        <f t="shared" si="6"/>
        <v/>
      </c>
      <c r="L53" s="16"/>
    </row>
    <row r="54" spans="1:12" ht="14.5" x14ac:dyDescent="0.35">
      <c r="A54" s="16"/>
      <c r="B54" s="16"/>
      <c r="C54" s="16"/>
      <c r="D54" s="16"/>
      <c r="E54" s="22" t="str">
        <f ca="1">IFERROR(__xludf.dummyfunction("iferror(1000+INT(($N$2-(index(split(D54,"":""),1)*60+index(split(D54,"":""),2 )))/0.2+1)*$N$3,"""")"),"")</f>
        <v/>
      </c>
      <c r="F54" s="16" t="str">
        <f t="shared" ca="1" si="4"/>
        <v/>
      </c>
      <c r="G54" s="16"/>
      <c r="H54" s="22" t="str">
        <f ca="1">IFERROR(__xludf.dummyfunction("iferror(1000+INT(($N$4-(index(split(G54,"":""),1)*60+index(split(G54,"":""),2 )))/0.2+1)*$N$5,"""")"),"")</f>
        <v/>
      </c>
      <c r="I54" s="16" t="str">
        <f t="shared" ca="1" si="5"/>
        <v/>
      </c>
      <c r="J54" s="22" t="str">
        <f t="shared" si="0"/>
        <v/>
      </c>
      <c r="K54" s="16" t="str">
        <f t="shared" si="6"/>
        <v/>
      </c>
      <c r="L54" s="16"/>
    </row>
    <row r="55" spans="1:12" ht="14.5" x14ac:dyDescent="0.35">
      <c r="A55" s="16"/>
      <c r="B55" s="16"/>
      <c r="C55" s="16"/>
      <c r="D55" s="16"/>
      <c r="E55" s="22" t="str">
        <f ca="1">IFERROR(__xludf.dummyfunction("iferror(1000+INT(($N$2-(index(split(D55,"":""),1)*60+index(split(D55,"":""),2 )))/0.2+1)*$N$3,"""")"),"")</f>
        <v/>
      </c>
      <c r="F55" s="16" t="str">
        <f t="shared" ca="1" si="4"/>
        <v/>
      </c>
      <c r="G55" s="16"/>
      <c r="H55" s="22" t="str">
        <f ca="1">IFERROR(__xludf.dummyfunction("iferror(1000+INT(($N$4-(index(split(G55,"":""),1)*60+index(split(G55,"":""),2 )))/0.2+1)*$N$5,"""")"),"")</f>
        <v/>
      </c>
      <c r="I55" s="16" t="str">
        <f t="shared" ca="1" si="5"/>
        <v/>
      </c>
      <c r="J55" s="22" t="str">
        <f t="shared" si="0"/>
        <v/>
      </c>
      <c r="K55" s="16" t="str">
        <f t="shared" si="6"/>
        <v/>
      </c>
      <c r="L55" s="16"/>
    </row>
    <row r="56" spans="1:12" ht="14.5" x14ac:dyDescent="0.35">
      <c r="A56" s="16"/>
      <c r="B56" s="16"/>
      <c r="C56" s="16"/>
      <c r="D56" s="16"/>
      <c r="E56" s="22" t="str">
        <f ca="1">IFERROR(__xludf.dummyfunction("iferror(1000+INT(($N$2-(index(split(D56,"":""),1)*60+index(split(D56,"":""),2 )))/0.2+1)*$N$3,"""")"),"")</f>
        <v/>
      </c>
      <c r="F56" s="16" t="str">
        <f t="shared" ca="1" si="4"/>
        <v/>
      </c>
      <c r="G56" s="16"/>
      <c r="H56" s="22" t="str">
        <f ca="1">IFERROR(__xludf.dummyfunction("iferror(1000+INT(($N$4-(index(split(G56,"":""),1)*60+index(split(G56,"":""),2 )))/0.2+1)*$N$5,"""")"),"")</f>
        <v/>
      </c>
      <c r="I56" s="16" t="str">
        <f t="shared" ca="1" si="5"/>
        <v/>
      </c>
      <c r="J56" s="22" t="str">
        <f t="shared" si="0"/>
        <v/>
      </c>
      <c r="K56" s="16" t="str">
        <f t="shared" si="6"/>
        <v/>
      </c>
      <c r="L56" s="16"/>
    </row>
    <row r="57" spans="1:12" ht="14.5" x14ac:dyDescent="0.35">
      <c r="A57" s="16"/>
      <c r="B57" s="16"/>
      <c r="C57" s="16"/>
      <c r="D57" s="16"/>
      <c r="E57" s="22" t="str">
        <f ca="1">IFERROR(__xludf.dummyfunction("iferror(1000+INT(($N$2-(index(split(D57,"":""),1)*60+index(split(D57,"":""),2 )))/0.2+1)*$N$3,"""")"),"")</f>
        <v/>
      </c>
      <c r="F57" s="16" t="str">
        <f t="shared" ca="1" si="4"/>
        <v/>
      </c>
      <c r="G57" s="16"/>
      <c r="H57" s="22" t="str">
        <f ca="1">IFERROR(__xludf.dummyfunction("iferror(1000+INT(($N$4-(index(split(G57,"":""),1)*60+index(split(G57,"":""),2 )))/0.2+1)*$N$5,"""")"),"")</f>
        <v/>
      </c>
      <c r="I57" s="16" t="str">
        <f t="shared" ca="1" si="5"/>
        <v/>
      </c>
      <c r="J57" s="22" t="str">
        <f t="shared" si="0"/>
        <v/>
      </c>
      <c r="K57" s="16" t="str">
        <f t="shared" si="6"/>
        <v/>
      </c>
      <c r="L57" s="16"/>
    </row>
    <row r="58" spans="1:12" ht="14.5" x14ac:dyDescent="0.35">
      <c r="A58" s="16"/>
      <c r="B58" s="16"/>
      <c r="C58" s="16"/>
      <c r="D58" s="16"/>
      <c r="E58" s="22" t="str">
        <f ca="1">IFERROR(__xludf.dummyfunction("iferror(1000+INT(($N$2-(index(split(D58,"":""),1)*60+index(split(D58,"":""),2 )))/0.2+1)*$N$3,"""")"),"")</f>
        <v/>
      </c>
      <c r="F58" s="16" t="str">
        <f t="shared" ca="1" si="4"/>
        <v/>
      </c>
      <c r="G58" s="16"/>
      <c r="H58" s="22" t="str">
        <f ca="1">IFERROR(__xludf.dummyfunction("iferror(1000+INT(($N$4-(index(split(G58,"":""),1)*60+index(split(G58,"":""),2 )))/0.2+1)*$N$5,"""")"),"")</f>
        <v/>
      </c>
      <c r="I58" s="16" t="str">
        <f t="shared" ca="1" si="5"/>
        <v/>
      </c>
      <c r="J58" s="22" t="str">
        <f t="shared" si="0"/>
        <v/>
      </c>
      <c r="K58" s="16" t="str">
        <f t="shared" si="6"/>
        <v/>
      </c>
      <c r="L58" s="16"/>
    </row>
    <row r="59" spans="1:12" ht="14.5" x14ac:dyDescent="0.35">
      <c r="A59" s="16"/>
      <c r="B59" s="16"/>
      <c r="C59" s="16"/>
      <c r="D59" s="16"/>
      <c r="E59" s="22" t="str">
        <f ca="1">IFERROR(__xludf.dummyfunction("iferror(1000+INT(($N$2-(index(split(D59,"":""),1)*60+index(split(D59,"":""),2 )))/0.2+1)*$N$3,"""")"),"")</f>
        <v/>
      </c>
      <c r="F59" s="16" t="str">
        <f t="shared" ca="1" si="4"/>
        <v/>
      </c>
      <c r="G59" s="16"/>
      <c r="H59" s="22" t="str">
        <f ca="1">IFERROR(__xludf.dummyfunction("iferror(1000+INT(($N$4-(index(split(G59,"":""),1)*60+index(split(G59,"":""),2 )))/0.2+1)*$N$5,"""")"),"")</f>
        <v/>
      </c>
      <c r="I59" s="16" t="str">
        <f t="shared" ca="1" si="5"/>
        <v/>
      </c>
      <c r="J59" s="22" t="str">
        <f t="shared" si="0"/>
        <v/>
      </c>
      <c r="K59" s="16" t="str">
        <f t="shared" si="6"/>
        <v/>
      </c>
      <c r="L59" s="16"/>
    </row>
    <row r="60" spans="1:12" ht="14.5" x14ac:dyDescent="0.35">
      <c r="A60" s="16"/>
      <c r="B60" s="16"/>
      <c r="C60" s="16"/>
      <c r="D60" s="16"/>
      <c r="E60" s="22" t="str">
        <f ca="1">IFERROR(__xludf.dummyfunction("iferror(1000+INT(($N$2-(index(split(D60,"":""),1)*60+index(split(D60,"":""),2 )))/0.2+1)*$N$3,"""")"),"")</f>
        <v/>
      </c>
      <c r="F60" s="16" t="str">
        <f t="shared" ca="1" si="4"/>
        <v/>
      </c>
      <c r="G60" s="16"/>
      <c r="H60" s="22" t="str">
        <f ca="1">IFERROR(__xludf.dummyfunction("iferror(1000+INT(($N$4-(index(split(G60,"":""),1)*60+index(split(G60,"":""),2 )))/0.2+1)*$N$5,"""")"),"")</f>
        <v/>
      </c>
      <c r="I60" s="16" t="str">
        <f t="shared" ca="1" si="5"/>
        <v/>
      </c>
      <c r="J60" s="22" t="str">
        <f t="shared" si="0"/>
        <v/>
      </c>
      <c r="K60" s="16" t="str">
        <f t="shared" si="6"/>
        <v/>
      </c>
      <c r="L60" s="16"/>
    </row>
    <row r="61" spans="1:12" ht="14.5" x14ac:dyDescent="0.35">
      <c r="A61" s="16"/>
      <c r="B61" s="16"/>
      <c r="C61" s="16"/>
      <c r="D61" s="16"/>
      <c r="E61" s="22" t="str">
        <f ca="1">IFERROR(__xludf.dummyfunction("iferror(1000+INT(($N$2-(index(split(D61,"":""),1)*60+index(split(D61,"":""),2 )))/0.2+1)*$N$3,"""")"),"")</f>
        <v/>
      </c>
      <c r="F61" s="16" t="str">
        <f t="shared" ca="1" si="4"/>
        <v/>
      </c>
      <c r="G61" s="16"/>
      <c r="H61" s="22" t="str">
        <f ca="1">IFERROR(__xludf.dummyfunction("iferror(1000+INT(($N$4-(index(split(G61,"":""),1)*60+index(split(G61,"":""),2 )))/0.2+1)*$N$5,"""")"),"")</f>
        <v/>
      </c>
      <c r="I61" s="16" t="str">
        <f t="shared" ca="1" si="5"/>
        <v/>
      </c>
      <c r="J61" s="22" t="str">
        <f t="shared" si="0"/>
        <v/>
      </c>
      <c r="K61" s="16" t="str">
        <f t="shared" si="6"/>
        <v/>
      </c>
      <c r="L61" s="16"/>
    </row>
    <row r="62" spans="1:12" ht="14.5" x14ac:dyDescent="0.35">
      <c r="A62" s="16"/>
      <c r="B62" s="16"/>
      <c r="C62" s="16"/>
      <c r="D62" s="16"/>
      <c r="E62" s="22" t="str">
        <f ca="1">IFERROR(__xludf.dummyfunction("iferror(1000+INT(($N$2-(index(split(D62,"":""),1)*60+index(split(D62,"":""),2 )))/0.2+1)*$N$3,"""")"),"")</f>
        <v/>
      </c>
      <c r="F62" s="16" t="str">
        <f t="shared" ca="1" si="4"/>
        <v/>
      </c>
      <c r="G62" s="16"/>
      <c r="H62" s="22" t="str">
        <f ca="1">IFERROR(__xludf.dummyfunction("iferror(1000+INT(($N$4-(index(split(G62,"":""),1)*60+index(split(G62,"":""),2 )))/0.2+1)*$N$5,"""")"),"")</f>
        <v/>
      </c>
      <c r="I62" s="16" t="str">
        <f t="shared" ca="1" si="5"/>
        <v/>
      </c>
      <c r="J62" s="22" t="str">
        <f t="shared" si="0"/>
        <v/>
      </c>
      <c r="K62" s="16" t="str">
        <f t="shared" si="6"/>
        <v/>
      </c>
      <c r="L62" s="16"/>
    </row>
    <row r="63" spans="1:12" ht="14.5" x14ac:dyDescent="0.35">
      <c r="A63" s="16"/>
      <c r="B63" s="16"/>
      <c r="C63" s="16"/>
      <c r="D63" s="16"/>
      <c r="E63" s="22" t="str">
        <f ca="1">IFERROR(__xludf.dummyfunction("iferror(1000+INT(($N$2-(index(split(D63,"":""),1)*60+index(split(D63,"":""),2 )))/0.2+1)*$N$3,"""")"),"")</f>
        <v/>
      </c>
      <c r="F63" s="16" t="str">
        <f t="shared" ca="1" si="4"/>
        <v/>
      </c>
      <c r="G63" s="16"/>
      <c r="H63" s="22" t="str">
        <f ca="1">IFERROR(__xludf.dummyfunction("iferror(1000+INT(($N$4-(index(split(G63,"":""),1)*60+index(split(G63,"":""),2 )))/0.2+1)*$N$5,"""")"),"")</f>
        <v/>
      </c>
      <c r="I63" s="16" t="str">
        <f t="shared" ca="1" si="5"/>
        <v/>
      </c>
      <c r="J63" s="22" t="str">
        <f t="shared" si="0"/>
        <v/>
      </c>
      <c r="K63" s="16" t="str">
        <f t="shared" si="6"/>
        <v/>
      </c>
      <c r="L63" s="16"/>
    </row>
    <row r="64" spans="1:12" ht="14.5" x14ac:dyDescent="0.35">
      <c r="A64" s="16"/>
      <c r="B64" s="16"/>
      <c r="C64" s="16"/>
      <c r="D64" s="16"/>
      <c r="E64" s="22" t="str">
        <f ca="1">IFERROR(__xludf.dummyfunction("iferror(1000+INT(($N$2-(index(split(D64,"":""),1)*60+index(split(D64,"":""),2 )))/0.2+1)*$N$3,"""")"),"")</f>
        <v/>
      </c>
      <c r="F64" s="16" t="str">
        <f t="shared" ca="1" si="4"/>
        <v/>
      </c>
      <c r="G64" s="16"/>
      <c r="H64" s="22" t="str">
        <f ca="1">IFERROR(__xludf.dummyfunction("iferror(1000+INT(($N$4-(index(split(G64,"":""),1)*60+index(split(G64,"":""),2 )))/0.2+1)*$N$5,"""")"),"")</f>
        <v/>
      </c>
      <c r="I64" s="16" t="str">
        <f t="shared" ca="1" si="5"/>
        <v/>
      </c>
      <c r="J64" s="22" t="str">
        <f t="shared" si="0"/>
        <v/>
      </c>
      <c r="K64" s="16" t="str">
        <f t="shared" si="6"/>
        <v/>
      </c>
      <c r="L64" s="16"/>
    </row>
    <row r="65" spans="1:12" ht="14.5" x14ac:dyDescent="0.35">
      <c r="A65" s="16"/>
      <c r="B65" s="16"/>
      <c r="C65" s="16"/>
      <c r="D65" s="16"/>
      <c r="E65" s="22" t="str">
        <f ca="1">IFERROR(__xludf.dummyfunction("iferror(1000+INT(($N$2-(index(split(D65,"":""),1)*60+index(split(D65,"":""),2 )))/0.2+1)*$N$3,"""")"),"")</f>
        <v/>
      </c>
      <c r="F65" s="16" t="str">
        <f t="shared" ca="1" si="4"/>
        <v/>
      </c>
      <c r="G65" s="16"/>
      <c r="H65" s="22" t="str">
        <f ca="1">IFERROR(__xludf.dummyfunction("iferror(1000+INT(($N$4-(index(split(G65,"":""),1)*60+index(split(G65,"":""),2 )))/0.2+1)*$N$5,"""")"),"")</f>
        <v/>
      </c>
      <c r="I65" s="16" t="str">
        <f t="shared" ca="1" si="5"/>
        <v/>
      </c>
      <c r="J65" s="22" t="str">
        <f t="shared" si="0"/>
        <v/>
      </c>
      <c r="K65" s="16" t="str">
        <f t="shared" si="6"/>
        <v/>
      </c>
      <c r="L65" s="16"/>
    </row>
    <row r="66" spans="1:12" ht="14.5" x14ac:dyDescent="0.35">
      <c r="A66" s="16"/>
      <c r="B66" s="16"/>
      <c r="C66" s="16"/>
      <c r="D66" s="16"/>
      <c r="E66" s="22" t="str">
        <f ca="1">IFERROR(__xludf.dummyfunction("iferror(1000+INT(($N$2-(index(split(D66,"":""),1)*60+index(split(D66,"":""),2 )))/0.2+1)*$N$3,"""")"),"")</f>
        <v/>
      </c>
      <c r="F66" s="16" t="str">
        <f t="shared" ref="F66:F97" ca="1" si="7">IFERROR(_xlfn.RANK.EQ(E66,E:E),"")</f>
        <v/>
      </c>
      <c r="G66" s="16"/>
      <c r="H66" s="22" t="str">
        <f ca="1">IFERROR(__xludf.dummyfunction("iferror(1000+INT(($N$4-(index(split(G66,"":""),1)*60+index(split(G66,"":""),2 )))/0.2+1)*$N$5,"""")"),"")</f>
        <v/>
      </c>
      <c r="I66" s="16" t="str">
        <f t="shared" ref="I66:I97" ca="1" si="8">IFERROR(_xlfn.RANK.EQ(H66,H:H),"")</f>
        <v/>
      </c>
      <c r="J66" s="22" t="str">
        <f t="shared" si="0"/>
        <v/>
      </c>
      <c r="K66" s="16" t="str">
        <f t="shared" ref="K66:K97" si="9">IFERROR(_xlfn.RANK.EQ(J66,J:J),"")</f>
        <v/>
      </c>
      <c r="L66" s="16"/>
    </row>
    <row r="67" spans="1:12" ht="14.5" x14ac:dyDescent="0.35">
      <c r="A67" s="16"/>
      <c r="B67" s="16"/>
      <c r="C67" s="16"/>
      <c r="D67" s="16"/>
      <c r="E67" s="22" t="str">
        <f ca="1">IFERROR(__xludf.dummyfunction("iferror(1000+INT(($N$2-(index(split(D67,"":""),1)*60+index(split(D67,"":""),2 )))/0.2+1)*$N$3,"""")"),"")</f>
        <v/>
      </c>
      <c r="F67" s="16" t="str">
        <f t="shared" ca="1" si="7"/>
        <v/>
      </c>
      <c r="G67" s="16"/>
      <c r="H67" s="22" t="str">
        <f ca="1">IFERROR(__xludf.dummyfunction("iferror(1000+INT(($N$4-(index(split(G67,"":""),1)*60+index(split(G67,"":""),2 )))/0.2+1)*$N$5,"""")"),"")</f>
        <v/>
      </c>
      <c r="I67" s="16" t="str">
        <f t="shared" ca="1" si="8"/>
        <v/>
      </c>
      <c r="J67" s="22" t="str">
        <f t="shared" ref="J67:J94" si="10">IF(AND(D67="", G67=""), "", E67+H67)</f>
        <v/>
      </c>
      <c r="K67" s="16" t="str">
        <f t="shared" si="9"/>
        <v/>
      </c>
      <c r="L67" s="16"/>
    </row>
    <row r="68" spans="1:12" ht="14.5" x14ac:dyDescent="0.35">
      <c r="A68" s="16"/>
      <c r="B68" s="16"/>
      <c r="C68" s="16"/>
      <c r="D68" s="16"/>
      <c r="E68" s="22" t="str">
        <f ca="1">IFERROR(__xludf.dummyfunction("iferror(1000+INT(($N$2-(index(split(D68,"":""),1)*60+index(split(D68,"":""),2 )))/0.2+1)*$N$3,"""")"),"")</f>
        <v/>
      </c>
      <c r="F68" s="16" t="str">
        <f t="shared" ca="1" si="7"/>
        <v/>
      </c>
      <c r="G68" s="16"/>
      <c r="H68" s="22" t="str">
        <f ca="1">IFERROR(__xludf.dummyfunction("iferror(1000+INT(($N$4-(index(split(G68,"":""),1)*60+index(split(G68,"":""),2 )))/0.2+1)*$N$5,"""")"),"")</f>
        <v/>
      </c>
      <c r="I68" s="16" t="str">
        <f t="shared" ca="1" si="8"/>
        <v/>
      </c>
      <c r="J68" s="22" t="str">
        <f t="shared" si="10"/>
        <v/>
      </c>
      <c r="K68" s="16" t="str">
        <f t="shared" si="9"/>
        <v/>
      </c>
      <c r="L68" s="16"/>
    </row>
    <row r="69" spans="1:12" ht="14.5" x14ac:dyDescent="0.35">
      <c r="A69" s="16"/>
      <c r="B69" s="16"/>
      <c r="C69" s="16"/>
      <c r="D69" s="16"/>
      <c r="E69" s="22" t="str">
        <f ca="1">IFERROR(__xludf.dummyfunction("iferror(1000+INT(($N$2-(index(split(D69,"":""),1)*60+index(split(D69,"":""),2 )))/0.2+1)*$N$3,"""")"),"")</f>
        <v/>
      </c>
      <c r="F69" s="16" t="str">
        <f t="shared" ca="1" si="7"/>
        <v/>
      </c>
      <c r="G69" s="16"/>
      <c r="H69" s="22" t="str">
        <f ca="1">IFERROR(__xludf.dummyfunction("iferror(1000+INT(($N$4-(index(split(G69,"":""),1)*60+index(split(G69,"":""),2 )))/0.2+1)*$N$5,"""")"),"")</f>
        <v/>
      </c>
      <c r="I69" s="16" t="str">
        <f t="shared" ca="1" si="8"/>
        <v/>
      </c>
      <c r="J69" s="22" t="str">
        <f t="shared" si="10"/>
        <v/>
      </c>
      <c r="K69" s="16" t="str">
        <f t="shared" si="9"/>
        <v/>
      </c>
      <c r="L69" s="16"/>
    </row>
    <row r="70" spans="1:12" ht="14.5" x14ac:dyDescent="0.35">
      <c r="A70" s="16"/>
      <c r="B70" s="16"/>
      <c r="C70" s="16"/>
      <c r="D70" s="16"/>
      <c r="E70" s="22" t="str">
        <f ca="1">IFERROR(__xludf.dummyfunction("iferror(1000+INT(($N$2-(index(split(D70,"":""),1)*60+index(split(D70,"":""),2 )))/0.2+1)*$N$3,"""")"),"")</f>
        <v/>
      </c>
      <c r="F70" s="16" t="str">
        <f t="shared" ca="1" si="7"/>
        <v/>
      </c>
      <c r="G70" s="16"/>
      <c r="H70" s="22" t="str">
        <f ca="1">IFERROR(__xludf.dummyfunction("iferror(1000+INT(($N$4-(index(split(G70,"":""),1)*60+index(split(G70,"":""),2 )))/0.2+1)*$N$5,"""")"),"")</f>
        <v/>
      </c>
      <c r="I70" s="16" t="str">
        <f t="shared" ca="1" si="8"/>
        <v/>
      </c>
      <c r="J70" s="22" t="str">
        <f t="shared" si="10"/>
        <v/>
      </c>
      <c r="K70" s="16" t="str">
        <f t="shared" si="9"/>
        <v/>
      </c>
      <c r="L70" s="16"/>
    </row>
    <row r="71" spans="1:12" ht="14.5" x14ac:dyDescent="0.35">
      <c r="A71" s="16"/>
      <c r="B71" s="16"/>
      <c r="C71" s="16"/>
      <c r="D71" s="16"/>
      <c r="E71" s="22" t="str">
        <f ca="1">IFERROR(__xludf.dummyfunction("iferror(1000+INT(($N$2-(index(split(D71,"":""),1)*60+index(split(D71,"":""),2 )))/0.2+1)*$N$3,"""")"),"")</f>
        <v/>
      </c>
      <c r="F71" s="16" t="str">
        <f t="shared" ca="1" si="7"/>
        <v/>
      </c>
      <c r="G71" s="16"/>
      <c r="H71" s="22" t="str">
        <f ca="1">IFERROR(__xludf.dummyfunction("iferror(1000+INT(($N$4-(index(split(G71,"":""),1)*60+index(split(G71,"":""),2 )))/0.2+1)*$N$5,"""")"),"")</f>
        <v/>
      </c>
      <c r="I71" s="16" t="str">
        <f t="shared" ca="1" si="8"/>
        <v/>
      </c>
      <c r="J71" s="22" t="str">
        <f t="shared" si="10"/>
        <v/>
      </c>
      <c r="K71" s="16" t="str">
        <f t="shared" si="9"/>
        <v/>
      </c>
      <c r="L71" s="16"/>
    </row>
    <row r="72" spans="1:12" ht="14.5" x14ac:dyDescent="0.35">
      <c r="A72" s="16"/>
      <c r="B72" s="16"/>
      <c r="C72" s="16"/>
      <c r="D72" s="16"/>
      <c r="E72" s="22" t="str">
        <f ca="1">IFERROR(__xludf.dummyfunction("iferror(1000+INT(($N$2-(index(split(D72,"":""),1)*60+index(split(D72,"":""),2 )))/0.2+1)*$N$3,"""")"),"")</f>
        <v/>
      </c>
      <c r="F72" s="16" t="str">
        <f t="shared" ca="1" si="7"/>
        <v/>
      </c>
      <c r="G72" s="16"/>
      <c r="H72" s="22" t="str">
        <f ca="1">IFERROR(__xludf.dummyfunction("iferror(1000+INT(($N$4-(index(split(G72,"":""),1)*60+index(split(G72,"":""),2 )))/0.2+1)*$N$5,"""")"),"")</f>
        <v/>
      </c>
      <c r="I72" s="16" t="str">
        <f t="shared" ca="1" si="8"/>
        <v/>
      </c>
      <c r="J72" s="22" t="str">
        <f t="shared" si="10"/>
        <v/>
      </c>
      <c r="K72" s="16" t="str">
        <f t="shared" si="9"/>
        <v/>
      </c>
      <c r="L72" s="16"/>
    </row>
    <row r="73" spans="1:12" ht="14.5" x14ac:dyDescent="0.35">
      <c r="A73" s="16"/>
      <c r="B73" s="16"/>
      <c r="C73" s="16"/>
      <c r="D73" s="16"/>
      <c r="E73" s="22" t="str">
        <f ca="1">IFERROR(__xludf.dummyfunction("iferror(1000+INT(($N$2-(index(split(D73,"":""),1)*60+index(split(D73,"":""),2 )))/0.2+1)*$N$3,"""")"),"")</f>
        <v/>
      </c>
      <c r="F73" s="16" t="str">
        <f t="shared" ca="1" si="7"/>
        <v/>
      </c>
      <c r="G73" s="16"/>
      <c r="H73" s="22" t="str">
        <f ca="1">IFERROR(__xludf.dummyfunction("iferror(1000+INT(($N$4-(index(split(G73,"":""),1)*60+index(split(G73,"":""),2 )))/0.2+1)*$N$5,"""")"),"")</f>
        <v/>
      </c>
      <c r="I73" s="16" t="str">
        <f t="shared" ca="1" si="8"/>
        <v/>
      </c>
      <c r="J73" s="22" t="str">
        <f t="shared" si="10"/>
        <v/>
      </c>
      <c r="K73" s="16" t="str">
        <f t="shared" si="9"/>
        <v/>
      </c>
      <c r="L73" s="16"/>
    </row>
    <row r="74" spans="1:12" ht="14.5" x14ac:dyDescent="0.35">
      <c r="A74" s="16"/>
      <c r="B74" s="16"/>
      <c r="C74" s="16"/>
      <c r="D74" s="16"/>
      <c r="E74" s="22" t="str">
        <f ca="1">IFERROR(__xludf.dummyfunction("iferror(1000+INT(($N$2-(index(split(D74,"":""),1)*60+index(split(D74,"":""),2 )))/0.2+1)*$N$3,"""")"),"")</f>
        <v/>
      </c>
      <c r="F74" s="16" t="str">
        <f t="shared" ca="1" si="7"/>
        <v/>
      </c>
      <c r="G74" s="16"/>
      <c r="H74" s="22" t="str">
        <f ca="1">IFERROR(__xludf.dummyfunction("iferror(1000+INT(($N$4-(index(split(G74,"":""),1)*60+index(split(G74,"":""),2 )))/0.2+1)*$N$5,"""")"),"")</f>
        <v/>
      </c>
      <c r="I74" s="16" t="str">
        <f t="shared" ca="1" si="8"/>
        <v/>
      </c>
      <c r="J74" s="22" t="str">
        <f t="shared" si="10"/>
        <v/>
      </c>
      <c r="K74" s="16" t="str">
        <f t="shared" si="9"/>
        <v/>
      </c>
      <c r="L74" s="16"/>
    </row>
    <row r="75" spans="1:12" ht="14.5" x14ac:dyDescent="0.35">
      <c r="A75" s="16"/>
      <c r="B75" s="16"/>
      <c r="C75" s="16"/>
      <c r="D75" s="16"/>
      <c r="E75" s="22" t="str">
        <f ca="1">IFERROR(__xludf.dummyfunction("iferror(1000+INT(($N$2-(index(split(D75,"":""),1)*60+index(split(D75,"":""),2 )))/0.2+1)*$N$3,"""")"),"")</f>
        <v/>
      </c>
      <c r="F75" s="16" t="str">
        <f t="shared" ca="1" si="7"/>
        <v/>
      </c>
      <c r="G75" s="16"/>
      <c r="H75" s="22" t="str">
        <f ca="1">IFERROR(__xludf.dummyfunction("iferror(1000+INT(($N$4-(index(split(G75,"":""),1)*60+index(split(G75,"":""),2 )))/0.2+1)*$N$5,"""")"),"")</f>
        <v/>
      </c>
      <c r="I75" s="16" t="str">
        <f t="shared" ca="1" si="8"/>
        <v/>
      </c>
      <c r="J75" s="22" t="str">
        <f t="shared" si="10"/>
        <v/>
      </c>
      <c r="K75" s="16" t="str">
        <f t="shared" si="9"/>
        <v/>
      </c>
      <c r="L75" s="16"/>
    </row>
    <row r="76" spans="1:12" ht="14.5" x14ac:dyDescent="0.35">
      <c r="A76" s="16"/>
      <c r="B76" s="16"/>
      <c r="C76" s="16"/>
      <c r="D76" s="16"/>
      <c r="E76" s="22" t="str">
        <f ca="1">IFERROR(__xludf.dummyfunction("iferror(1000+INT(($N$2-(index(split(D76,"":""),1)*60+index(split(D76,"":""),2 )))/0.2+1)*$N$3,"""")"),"")</f>
        <v/>
      </c>
      <c r="F76" s="16" t="str">
        <f t="shared" ca="1" si="7"/>
        <v/>
      </c>
      <c r="G76" s="16"/>
      <c r="H76" s="22" t="str">
        <f ca="1">IFERROR(__xludf.dummyfunction("iferror(1000+INT(($N$4-(index(split(G76,"":""),1)*60+index(split(G76,"":""),2 )))/0.2+1)*$N$5,"""")"),"")</f>
        <v/>
      </c>
      <c r="I76" s="16" t="str">
        <f t="shared" ca="1" si="8"/>
        <v/>
      </c>
      <c r="J76" s="22" t="str">
        <f t="shared" si="10"/>
        <v/>
      </c>
      <c r="K76" s="16" t="str">
        <f t="shared" si="9"/>
        <v/>
      </c>
      <c r="L76" s="16"/>
    </row>
    <row r="77" spans="1:12" ht="14.5" x14ac:dyDescent="0.35">
      <c r="A77" s="16"/>
      <c r="B77" s="16"/>
      <c r="C77" s="16"/>
      <c r="D77" s="16"/>
      <c r="E77" s="22" t="str">
        <f ca="1">IFERROR(__xludf.dummyfunction("iferror(1000+INT(($N$2-(index(split(D77,"":""),1)*60+index(split(D77,"":""),2 )))/0.2+1)*$N$3,"""")"),"")</f>
        <v/>
      </c>
      <c r="F77" s="16" t="str">
        <f t="shared" ca="1" si="7"/>
        <v/>
      </c>
      <c r="G77" s="16"/>
      <c r="H77" s="22" t="str">
        <f ca="1">IFERROR(__xludf.dummyfunction("iferror(1000+INT(($N$4-(index(split(G77,"":""),1)*60+index(split(G77,"":""),2 )))/0.2+1)*$N$5,"""")"),"")</f>
        <v/>
      </c>
      <c r="I77" s="16" t="str">
        <f t="shared" ca="1" si="8"/>
        <v/>
      </c>
      <c r="J77" s="22" t="str">
        <f t="shared" si="10"/>
        <v/>
      </c>
      <c r="K77" s="16" t="str">
        <f t="shared" si="9"/>
        <v/>
      </c>
      <c r="L77" s="16"/>
    </row>
    <row r="78" spans="1:12" ht="14.5" x14ac:dyDescent="0.35">
      <c r="A78" s="16"/>
      <c r="B78" s="16"/>
      <c r="C78" s="16"/>
      <c r="D78" s="16"/>
      <c r="E78" s="22" t="str">
        <f ca="1">IFERROR(__xludf.dummyfunction("iferror(1000+INT(($N$2-(index(split(D78,"":""),1)*60+index(split(D78,"":""),2 )))/0.2+1)*$N$3,"""")"),"")</f>
        <v/>
      </c>
      <c r="F78" s="16" t="str">
        <f t="shared" ca="1" si="7"/>
        <v/>
      </c>
      <c r="G78" s="16"/>
      <c r="H78" s="22" t="str">
        <f ca="1">IFERROR(__xludf.dummyfunction("iferror(1000+INT(($N$4-(index(split(G78,"":""),1)*60+index(split(G78,"":""),2 )))/0.2+1)*$N$5,"""")"),"")</f>
        <v/>
      </c>
      <c r="I78" s="16" t="str">
        <f t="shared" ca="1" si="8"/>
        <v/>
      </c>
      <c r="J78" s="22" t="str">
        <f t="shared" si="10"/>
        <v/>
      </c>
      <c r="K78" s="16" t="str">
        <f t="shared" si="9"/>
        <v/>
      </c>
      <c r="L78" s="16"/>
    </row>
    <row r="79" spans="1:12" ht="14.5" x14ac:dyDescent="0.35">
      <c r="A79" s="16"/>
      <c r="B79" s="16"/>
      <c r="C79" s="16"/>
      <c r="D79" s="16"/>
      <c r="E79" s="22" t="str">
        <f ca="1">IFERROR(__xludf.dummyfunction("iferror(1000+INT(($N$2-(index(split(D79,"":""),1)*60+index(split(D79,"":""),2 )))/0.2+1)*$N$3,"""")"),"")</f>
        <v/>
      </c>
      <c r="F79" s="16" t="str">
        <f t="shared" ca="1" si="7"/>
        <v/>
      </c>
      <c r="G79" s="16"/>
      <c r="H79" s="22" t="str">
        <f ca="1">IFERROR(__xludf.dummyfunction("iferror(1000+INT(($N$4-(index(split(G79,"":""),1)*60+index(split(G79,"":""),2 )))/0.2+1)*$N$5,"""")"),"")</f>
        <v/>
      </c>
      <c r="I79" s="16" t="str">
        <f t="shared" ca="1" si="8"/>
        <v/>
      </c>
      <c r="J79" s="22" t="str">
        <f t="shared" si="10"/>
        <v/>
      </c>
      <c r="K79" s="16" t="str">
        <f t="shared" si="9"/>
        <v/>
      </c>
      <c r="L79" s="16"/>
    </row>
    <row r="80" spans="1:12" ht="14.5" x14ac:dyDescent="0.35">
      <c r="A80" s="16"/>
      <c r="B80" s="16"/>
      <c r="C80" s="16"/>
      <c r="D80" s="16"/>
      <c r="E80" s="22" t="str">
        <f ca="1">IFERROR(__xludf.dummyfunction("iferror(1000+INT(($N$2-(index(split(D80,"":""),1)*60+index(split(D80,"":""),2 )))/0.2+1)*$N$3,"""")"),"")</f>
        <v/>
      </c>
      <c r="F80" s="16" t="str">
        <f t="shared" ca="1" si="7"/>
        <v/>
      </c>
      <c r="G80" s="16"/>
      <c r="H80" s="22" t="str">
        <f ca="1">IFERROR(__xludf.dummyfunction("iferror(1000+INT(($N$4-(index(split(G80,"":""),1)*60+index(split(G80,"":""),2 )))/0.2+1)*$N$5,"""")"),"")</f>
        <v/>
      </c>
      <c r="I80" s="16" t="str">
        <f t="shared" ca="1" si="8"/>
        <v/>
      </c>
      <c r="J80" s="22" t="str">
        <f t="shared" si="10"/>
        <v/>
      </c>
      <c r="K80" s="16" t="str">
        <f t="shared" si="9"/>
        <v/>
      </c>
      <c r="L80" s="16"/>
    </row>
    <row r="81" spans="1:12" ht="14.5" x14ac:dyDescent="0.35">
      <c r="A81" s="16"/>
      <c r="B81" s="16"/>
      <c r="C81" s="16"/>
      <c r="D81" s="16"/>
      <c r="E81" s="22" t="str">
        <f ca="1">IFERROR(__xludf.dummyfunction("iferror(1000+INT(($N$2-(index(split(D81,"":""),1)*60+index(split(D81,"":""),2 )))/0.2+1)*$N$3,"""")"),"")</f>
        <v/>
      </c>
      <c r="F81" s="16" t="str">
        <f t="shared" ca="1" si="7"/>
        <v/>
      </c>
      <c r="G81" s="16"/>
      <c r="H81" s="22" t="str">
        <f ca="1">IFERROR(__xludf.dummyfunction("iferror(1000+INT(($N$4-(index(split(G81,"":""),1)*60+index(split(G81,"":""),2 )))/0.2+1)*$N$5,"""")"),"")</f>
        <v/>
      </c>
      <c r="I81" s="16" t="str">
        <f t="shared" ca="1" si="8"/>
        <v/>
      </c>
      <c r="J81" s="22" t="str">
        <f t="shared" si="10"/>
        <v/>
      </c>
      <c r="K81" s="16" t="str">
        <f t="shared" si="9"/>
        <v/>
      </c>
      <c r="L81" s="16"/>
    </row>
    <row r="82" spans="1:12" ht="14.5" x14ac:dyDescent="0.35">
      <c r="A82" s="16"/>
      <c r="B82" s="16"/>
      <c r="C82" s="16"/>
      <c r="D82" s="16"/>
      <c r="E82" s="22" t="str">
        <f ca="1">IFERROR(__xludf.dummyfunction("iferror(1000+INT(($N$2-(index(split(D82,"":""),1)*60+index(split(D82,"":""),2 )))/0.2+1)*$N$3,"""")"),"")</f>
        <v/>
      </c>
      <c r="F82" s="16" t="str">
        <f t="shared" ca="1" si="7"/>
        <v/>
      </c>
      <c r="G82" s="16"/>
      <c r="H82" s="22" t="str">
        <f ca="1">IFERROR(__xludf.dummyfunction("iferror(1000+INT(($N$4-(index(split(G82,"":""),1)*60+index(split(G82,"":""),2 )))/0.2+1)*$N$5,"""")"),"")</f>
        <v/>
      </c>
      <c r="I82" s="16" t="str">
        <f t="shared" ca="1" si="8"/>
        <v/>
      </c>
      <c r="J82" s="22" t="str">
        <f t="shared" si="10"/>
        <v/>
      </c>
      <c r="K82" s="16" t="str">
        <f t="shared" si="9"/>
        <v/>
      </c>
      <c r="L82" s="16"/>
    </row>
    <row r="83" spans="1:12" ht="14.5" x14ac:dyDescent="0.35">
      <c r="A83" s="16"/>
      <c r="B83" s="16"/>
      <c r="C83" s="16"/>
      <c r="D83" s="16"/>
      <c r="E83" s="22" t="str">
        <f ca="1">IFERROR(__xludf.dummyfunction("iferror(1000+INT(($N$2-(index(split(D83,"":""),1)*60+index(split(D83,"":""),2 )))/0.2+1)*$N$3,"""")"),"")</f>
        <v/>
      </c>
      <c r="F83" s="16" t="str">
        <f t="shared" ca="1" si="7"/>
        <v/>
      </c>
      <c r="G83" s="16"/>
      <c r="H83" s="22" t="str">
        <f ca="1">IFERROR(__xludf.dummyfunction("iferror(1000+INT(($N$4-(index(split(G83,"":""),1)*60+index(split(G83,"":""),2 )))/0.2+1)*$N$5,"""")"),"")</f>
        <v/>
      </c>
      <c r="I83" s="16" t="str">
        <f t="shared" ca="1" si="8"/>
        <v/>
      </c>
      <c r="J83" s="22" t="str">
        <f t="shared" si="10"/>
        <v/>
      </c>
      <c r="K83" s="16" t="str">
        <f t="shared" si="9"/>
        <v/>
      </c>
      <c r="L83" s="16"/>
    </row>
    <row r="84" spans="1:12" ht="14.5" x14ac:dyDescent="0.35">
      <c r="A84" s="16"/>
      <c r="B84" s="16"/>
      <c r="C84" s="16"/>
      <c r="D84" s="16"/>
      <c r="E84" s="22" t="str">
        <f ca="1">IFERROR(__xludf.dummyfunction("iferror(1000+INT(($N$2-(index(split(D84,"":""),1)*60+index(split(D84,"":""),2 )))/0.2+1)*$N$3,"""")"),"")</f>
        <v/>
      </c>
      <c r="F84" s="16" t="str">
        <f t="shared" ca="1" si="7"/>
        <v/>
      </c>
      <c r="G84" s="16"/>
      <c r="H84" s="22" t="str">
        <f ca="1">IFERROR(__xludf.dummyfunction("iferror(1000+INT(($N$4-(index(split(G84,"":""),1)*60+index(split(G84,"":""),2 )))/0.2+1)*$N$5,"""")"),"")</f>
        <v/>
      </c>
      <c r="I84" s="16" t="str">
        <f t="shared" ca="1" si="8"/>
        <v/>
      </c>
      <c r="J84" s="22" t="str">
        <f t="shared" si="10"/>
        <v/>
      </c>
      <c r="K84" s="16" t="str">
        <f t="shared" si="9"/>
        <v/>
      </c>
      <c r="L84" s="16"/>
    </row>
    <row r="85" spans="1:12" ht="14.5" x14ac:dyDescent="0.35">
      <c r="A85" s="16"/>
      <c r="B85" s="16"/>
      <c r="C85" s="16"/>
      <c r="D85" s="16"/>
      <c r="E85" s="22" t="str">
        <f ca="1">IFERROR(__xludf.dummyfunction("iferror(1000+INT(($N$2-(index(split(D85,"":""),1)*60+index(split(D85,"":""),2 )))/0.2+1)*$N$3,"""")"),"")</f>
        <v/>
      </c>
      <c r="F85" s="16" t="str">
        <f t="shared" ca="1" si="7"/>
        <v/>
      </c>
      <c r="G85" s="16"/>
      <c r="H85" s="22" t="str">
        <f ca="1">IFERROR(__xludf.dummyfunction("iferror(1000+INT(($N$4-(index(split(G85,"":""),1)*60+index(split(G85,"":""),2 )))/0.2+1)*$N$5,"""")"),"")</f>
        <v/>
      </c>
      <c r="I85" s="16" t="str">
        <f t="shared" ca="1" si="8"/>
        <v/>
      </c>
      <c r="J85" s="22" t="str">
        <f t="shared" si="10"/>
        <v/>
      </c>
      <c r="K85" s="16" t="str">
        <f t="shared" si="9"/>
        <v/>
      </c>
      <c r="L85" s="16"/>
    </row>
    <row r="86" spans="1:12" ht="14.5" x14ac:dyDescent="0.35">
      <c r="A86" s="16"/>
      <c r="B86" s="16"/>
      <c r="C86" s="16"/>
      <c r="D86" s="16"/>
      <c r="E86" s="22" t="str">
        <f ca="1">IFERROR(__xludf.dummyfunction("iferror(1000+INT(($N$2-(index(split(D86,"":""),1)*60+index(split(D86,"":""),2 )))/0.2+1)*$N$3,"""")"),"")</f>
        <v/>
      </c>
      <c r="F86" s="16" t="str">
        <f t="shared" ca="1" si="7"/>
        <v/>
      </c>
      <c r="G86" s="16"/>
      <c r="H86" s="22" t="str">
        <f ca="1">IFERROR(__xludf.dummyfunction("iferror(1000+INT(($N$4-(index(split(G86,"":""),1)*60+index(split(G86,"":""),2 )))/0.2+1)*$N$5,"""")"),"")</f>
        <v/>
      </c>
      <c r="I86" s="16" t="str">
        <f t="shared" ca="1" si="8"/>
        <v/>
      </c>
      <c r="J86" s="22" t="str">
        <f t="shared" si="10"/>
        <v/>
      </c>
      <c r="K86" s="16" t="str">
        <f t="shared" si="9"/>
        <v/>
      </c>
      <c r="L86" s="16"/>
    </row>
    <row r="87" spans="1:12" ht="14.5" x14ac:dyDescent="0.35">
      <c r="A87" s="16"/>
      <c r="B87" s="16"/>
      <c r="C87" s="16"/>
      <c r="D87" s="16"/>
      <c r="E87" s="22" t="str">
        <f ca="1">IFERROR(__xludf.dummyfunction("iferror(1000+INT(($N$2-(index(split(D87,"":""),1)*60+index(split(D87,"":""),2 )))/0.2+1)*$N$3,"""")"),"")</f>
        <v/>
      </c>
      <c r="F87" s="16" t="str">
        <f t="shared" ca="1" si="7"/>
        <v/>
      </c>
      <c r="G87" s="16"/>
      <c r="H87" s="22" t="str">
        <f ca="1">IFERROR(__xludf.dummyfunction("iferror(1000+INT(($N$4-(index(split(G87,"":""),1)*60+index(split(G87,"":""),2 )))/0.2+1)*$N$5,"""")"),"")</f>
        <v/>
      </c>
      <c r="I87" s="16" t="str">
        <f t="shared" ca="1" si="8"/>
        <v/>
      </c>
      <c r="J87" s="22" t="str">
        <f t="shared" si="10"/>
        <v/>
      </c>
      <c r="K87" s="16" t="str">
        <f t="shared" si="9"/>
        <v/>
      </c>
      <c r="L87" s="16"/>
    </row>
    <row r="88" spans="1:12" ht="14.5" x14ac:dyDescent="0.35">
      <c r="A88" s="16"/>
      <c r="B88" s="16"/>
      <c r="C88" s="16"/>
      <c r="D88" s="16"/>
      <c r="E88" s="22" t="str">
        <f ca="1">IFERROR(__xludf.dummyfunction("iferror(1000+INT(($N$2-(index(split(D88,"":""),1)*60+index(split(D88,"":""),2 )))/0.2+1)*$N$3,"""")"),"")</f>
        <v/>
      </c>
      <c r="F88" s="16" t="str">
        <f t="shared" ca="1" si="7"/>
        <v/>
      </c>
      <c r="G88" s="16"/>
      <c r="H88" s="22" t="str">
        <f ca="1">IFERROR(__xludf.dummyfunction("iferror(1000+INT(($N$4-(index(split(G88,"":""),1)*60+index(split(G88,"":""),2 )))/0.2+1)*$N$5,"""")"),"")</f>
        <v/>
      </c>
      <c r="I88" s="16" t="str">
        <f t="shared" ca="1" si="8"/>
        <v/>
      </c>
      <c r="J88" s="22" t="str">
        <f t="shared" si="10"/>
        <v/>
      </c>
      <c r="K88" s="16" t="str">
        <f t="shared" si="9"/>
        <v/>
      </c>
      <c r="L88" s="16"/>
    </row>
    <row r="89" spans="1:12" ht="14.5" x14ac:dyDescent="0.35">
      <c r="A89" s="16"/>
      <c r="B89" s="16"/>
      <c r="C89" s="16"/>
      <c r="D89" s="16"/>
      <c r="E89" s="22" t="str">
        <f ca="1">IFERROR(__xludf.dummyfunction("iferror(1000+INT(($N$2-(index(split(D89,"":""),1)*60+index(split(D89,"":""),2 )))/0.2+1)*$N$3,"""")"),"")</f>
        <v/>
      </c>
      <c r="F89" s="16" t="str">
        <f t="shared" ca="1" si="7"/>
        <v/>
      </c>
      <c r="G89" s="16"/>
      <c r="H89" s="22" t="str">
        <f ca="1">IFERROR(__xludf.dummyfunction("iferror(1000+INT(($N$4-(index(split(G89,"":""),1)*60+index(split(G89,"":""),2 )))/0.2+1)*$N$5,"""")"),"")</f>
        <v/>
      </c>
      <c r="I89" s="16" t="str">
        <f t="shared" ca="1" si="8"/>
        <v/>
      </c>
      <c r="J89" s="22" t="str">
        <f t="shared" si="10"/>
        <v/>
      </c>
      <c r="K89" s="16" t="str">
        <f t="shared" si="9"/>
        <v/>
      </c>
      <c r="L89" s="16"/>
    </row>
    <row r="90" spans="1:12" ht="14.5" x14ac:dyDescent="0.35">
      <c r="A90" s="16"/>
      <c r="B90" s="16"/>
      <c r="C90" s="16"/>
      <c r="D90" s="16"/>
      <c r="E90" s="22" t="str">
        <f ca="1">IFERROR(__xludf.dummyfunction("iferror(1000+INT(($N$2-(index(split(D90,"":""),1)*60+index(split(D90,"":""),2 )))/0.2+1)*$N$3,"""")"),"")</f>
        <v/>
      </c>
      <c r="F90" s="16" t="str">
        <f t="shared" ca="1" si="7"/>
        <v/>
      </c>
      <c r="G90" s="16"/>
      <c r="H90" s="22" t="str">
        <f ca="1">IFERROR(__xludf.dummyfunction("iferror(1000+INT(($N$4-(index(split(G90,"":""),1)*60+index(split(G90,"":""),2 )))/0.2+1)*$N$5,"""")"),"")</f>
        <v/>
      </c>
      <c r="I90" s="16" t="str">
        <f t="shared" ca="1" si="8"/>
        <v/>
      </c>
      <c r="J90" s="22" t="str">
        <f t="shared" si="10"/>
        <v/>
      </c>
      <c r="K90" s="16" t="str">
        <f t="shared" si="9"/>
        <v/>
      </c>
      <c r="L90" s="16"/>
    </row>
    <row r="91" spans="1:12" ht="14.5" x14ac:dyDescent="0.35">
      <c r="A91" s="16"/>
      <c r="B91" s="16"/>
      <c r="C91" s="16"/>
      <c r="D91" s="16"/>
      <c r="E91" s="22" t="str">
        <f ca="1">IFERROR(__xludf.dummyfunction("iferror(1000+INT(($N$2-(index(split(D91,"":""),1)*60+index(split(D91,"":""),2 )))/0.2+1)*$N$3,"""")"),"")</f>
        <v/>
      </c>
      <c r="F91" s="16" t="str">
        <f t="shared" ca="1" si="7"/>
        <v/>
      </c>
      <c r="G91" s="16"/>
      <c r="H91" s="22" t="str">
        <f ca="1">IFERROR(__xludf.dummyfunction("iferror(1000+INT(($N$4-(index(split(G91,"":""),1)*60+index(split(G91,"":""),2 )))/0.2+1)*$N$5,"""")"),"")</f>
        <v/>
      </c>
      <c r="I91" s="16" t="str">
        <f t="shared" ca="1" si="8"/>
        <v/>
      </c>
      <c r="J91" s="22" t="str">
        <f t="shared" si="10"/>
        <v/>
      </c>
      <c r="K91" s="16" t="str">
        <f t="shared" si="9"/>
        <v/>
      </c>
      <c r="L91" s="16"/>
    </row>
    <row r="92" spans="1:12" ht="14.5" x14ac:dyDescent="0.35">
      <c r="A92" s="16"/>
      <c r="B92" s="16"/>
      <c r="C92" s="16"/>
      <c r="D92" s="16"/>
      <c r="E92" s="22" t="str">
        <f ca="1">IFERROR(__xludf.dummyfunction("iferror(1000+INT(($N$2-(index(split(D92,"":""),1)*60+index(split(D92,"":""),2 )))/0.2+1)*$N$3,"""")"),"")</f>
        <v/>
      </c>
      <c r="F92" s="16" t="str">
        <f t="shared" ca="1" si="7"/>
        <v/>
      </c>
      <c r="G92" s="16"/>
      <c r="H92" s="22" t="str">
        <f ca="1">IFERROR(__xludf.dummyfunction("iferror(1000+INT(($N$4-(index(split(G92,"":""),1)*60+index(split(G92,"":""),2 )))/0.2+1)*$N$5,"""")"),"")</f>
        <v/>
      </c>
      <c r="I92" s="16" t="str">
        <f t="shared" ca="1" si="8"/>
        <v/>
      </c>
      <c r="J92" s="22" t="str">
        <f t="shared" si="10"/>
        <v/>
      </c>
      <c r="K92" s="16" t="str">
        <f t="shared" si="9"/>
        <v/>
      </c>
      <c r="L92" s="16"/>
    </row>
    <row r="93" spans="1:12" ht="14.5" x14ac:dyDescent="0.35">
      <c r="A93" s="16"/>
      <c r="B93" s="16"/>
      <c r="C93" s="16"/>
      <c r="D93" s="16"/>
      <c r="E93" s="22" t="str">
        <f ca="1">IFERROR(__xludf.dummyfunction("iferror(1000+INT(($N$2-(index(split(D93,"":""),1)*60+index(split(D93,"":""),2 )))/0.2+1)*$N$3,"""")"),"")</f>
        <v/>
      </c>
      <c r="F93" s="16" t="str">
        <f t="shared" ca="1" si="7"/>
        <v/>
      </c>
      <c r="G93" s="16"/>
      <c r="H93" s="22" t="str">
        <f ca="1">IFERROR(__xludf.dummyfunction("iferror(1000+INT(($N$4-(index(split(G93,"":""),1)*60+index(split(G93,"":""),2 )))/0.2+1)*$N$5,"""")"),"")</f>
        <v/>
      </c>
      <c r="I93" s="16" t="str">
        <f t="shared" ca="1" si="8"/>
        <v/>
      </c>
      <c r="J93" s="22" t="str">
        <f t="shared" si="10"/>
        <v/>
      </c>
      <c r="K93" s="16" t="str">
        <f t="shared" si="9"/>
        <v/>
      </c>
      <c r="L93" s="16"/>
    </row>
    <row r="94" spans="1:12" ht="14.5" x14ac:dyDescent="0.35">
      <c r="A94" s="16"/>
      <c r="B94" s="16"/>
      <c r="C94" s="16"/>
      <c r="D94" s="16"/>
      <c r="E94" s="22" t="str">
        <f ca="1">IFERROR(__xludf.dummyfunction("iferror(1000+INT(($N$2-(index(split(D94,"":""),1)*60+index(split(D94,"":""),2 )))/0.2+1)*$N$3,"""")"),"")</f>
        <v/>
      </c>
      <c r="F94" s="16" t="str">
        <f t="shared" ca="1" si="7"/>
        <v/>
      </c>
      <c r="G94" s="16"/>
      <c r="H94" s="22" t="str">
        <f ca="1">IFERROR(__xludf.dummyfunction("iferror(1000+INT(($N$4-(index(split(G94,"":""),1)*60+index(split(G94,"":""),2 )))/0.2+1)*$N$5,"""")"),"")</f>
        <v/>
      </c>
      <c r="I94" s="16" t="str">
        <f t="shared" ca="1" si="8"/>
        <v/>
      </c>
      <c r="J94" s="22" t="str">
        <f t="shared" si="10"/>
        <v/>
      </c>
      <c r="K94" s="16" t="str">
        <f t="shared" si="9"/>
        <v/>
      </c>
      <c r="L94" s="16"/>
    </row>
    <row r="95" spans="1:12" ht="14.5" x14ac:dyDescent="0.35">
      <c r="A95" s="16"/>
      <c r="B95" s="16"/>
      <c r="C95" s="16"/>
      <c r="D95" s="16"/>
      <c r="E95" s="22" t="str">
        <f ca="1">IFERROR(__xludf.dummyfunction("iferror(1000+INT(($N$2-(index(split(D95,"":""),1)*60+index(split(D95,"":""),2 )))/0.2+1)*$N$3,"""")"),"")</f>
        <v/>
      </c>
      <c r="F95" s="16" t="str">
        <f t="shared" ca="1" si="7"/>
        <v/>
      </c>
      <c r="G95" s="16"/>
      <c r="H95" s="22" t="str">
        <f ca="1">IFERROR(__xludf.dummyfunction("iferror(1000+INT(($N$4-(index(split(G95,"":""),1)*60+index(split(G95,"":""),2 )))/0.2+1)*$N$5,"""")"),"")</f>
        <v/>
      </c>
      <c r="I95" s="16" t="str">
        <f t="shared" ca="1" si="8"/>
        <v/>
      </c>
      <c r="J95" s="16" t="str">
        <f t="shared" ref="J66:J100" si="11">IF(AND(D95="", G95=""), "", E95+H95)</f>
        <v/>
      </c>
      <c r="K95" s="16" t="str">
        <f t="shared" si="9"/>
        <v/>
      </c>
      <c r="L95" s="16"/>
    </row>
    <row r="96" spans="1:12" ht="14.5" x14ac:dyDescent="0.35">
      <c r="A96" s="16"/>
      <c r="B96" s="16"/>
      <c r="C96" s="16"/>
      <c r="D96" s="16"/>
      <c r="E96" s="22" t="str">
        <f ca="1">IFERROR(__xludf.dummyfunction("iferror(1000+INT(($N$2-(index(split(D96,"":""),1)*60+index(split(D96,"":""),2 )))/0.2+1)*$N$3,"""")"),"")</f>
        <v/>
      </c>
      <c r="F96" s="16" t="str">
        <f t="shared" ca="1" si="7"/>
        <v/>
      </c>
      <c r="G96" s="16"/>
      <c r="H96" s="22" t="str">
        <f ca="1">IFERROR(__xludf.dummyfunction("iferror(1000+INT(($N$4-(index(split(G96,"":""),1)*60+index(split(G96,"":""),2 )))/0.2+1)*$N$5,"""")"),"")</f>
        <v/>
      </c>
      <c r="I96" s="16" t="str">
        <f t="shared" ca="1" si="8"/>
        <v/>
      </c>
      <c r="J96" s="16" t="str">
        <f t="shared" si="11"/>
        <v/>
      </c>
      <c r="K96" s="16" t="str">
        <f t="shared" si="9"/>
        <v/>
      </c>
      <c r="L96" s="16"/>
    </row>
    <row r="97" spans="1:12" ht="14.5" x14ac:dyDescent="0.35">
      <c r="A97" s="16"/>
      <c r="B97" s="16"/>
      <c r="C97" s="16"/>
      <c r="D97" s="16"/>
      <c r="E97" s="22" t="str">
        <f ca="1">IFERROR(__xludf.dummyfunction("iferror(1000+INT(($N$2-(index(split(D97,"":""),1)*60+index(split(D97,"":""),2 )))/0.2+1)*$N$3,"""")"),"")</f>
        <v/>
      </c>
      <c r="F97" s="16" t="str">
        <f t="shared" ca="1" si="7"/>
        <v/>
      </c>
      <c r="G97" s="16"/>
      <c r="H97" s="22" t="str">
        <f ca="1">IFERROR(__xludf.dummyfunction("iferror(1000+INT(($N$4-(index(split(G97,"":""),1)*60+index(split(G97,"":""),2 )))/0.2+1)*$N$5,"""")"),"")</f>
        <v/>
      </c>
      <c r="I97" s="16" t="str">
        <f t="shared" ca="1" si="8"/>
        <v/>
      </c>
      <c r="J97" s="16" t="str">
        <f t="shared" si="11"/>
        <v/>
      </c>
      <c r="K97" s="16" t="str">
        <f t="shared" si="9"/>
        <v/>
      </c>
      <c r="L97" s="16"/>
    </row>
    <row r="98" spans="1:12" ht="14.5" x14ac:dyDescent="0.35">
      <c r="A98" s="16"/>
      <c r="B98" s="16"/>
      <c r="C98" s="16"/>
      <c r="D98" s="16"/>
      <c r="E98" s="22" t="str">
        <f ca="1">IFERROR(__xludf.dummyfunction("iferror(1000+INT(($N$2-(index(split(D98,"":""),1)*60+index(split(D98,"":""),2 )))/0.2+1)*$N$3,"""")"),"")</f>
        <v/>
      </c>
      <c r="F98" s="16" t="str">
        <f t="shared" ref="F98:F129" ca="1" si="12">IFERROR(_xlfn.RANK.EQ(E98,E:E),"")</f>
        <v/>
      </c>
      <c r="G98" s="16"/>
      <c r="H98" s="22" t="str">
        <f ca="1">IFERROR(__xludf.dummyfunction("iferror(1000+INT(($N$4-(index(split(G98,"":""),1)*60+index(split(G98,"":""),2 )))/0.2+1)*$N$5,"""")"),"")</f>
        <v/>
      </c>
      <c r="I98" s="16" t="str">
        <f t="shared" ref="I98:I129" ca="1" si="13">IFERROR(_xlfn.RANK.EQ(H98,H:H),"")</f>
        <v/>
      </c>
      <c r="J98" s="16" t="str">
        <f t="shared" si="11"/>
        <v/>
      </c>
      <c r="K98" s="16" t="str">
        <f t="shared" ref="K98:K129" si="14">IFERROR(_xlfn.RANK.EQ(J98,J:J),"")</f>
        <v/>
      </c>
      <c r="L98" s="16"/>
    </row>
    <row r="99" spans="1:12" ht="14.5" x14ac:dyDescent="0.35">
      <c r="A99" s="16"/>
      <c r="B99" s="16"/>
      <c r="C99" s="16"/>
      <c r="D99" s="16"/>
      <c r="E99" s="22" t="str">
        <f ca="1">IFERROR(__xludf.dummyfunction("iferror(1000+INT(($N$2-(index(split(D99,"":""),1)*60+index(split(D99,"":""),2 )))/0.2+1)*$N$3,"""")"),"")</f>
        <v/>
      </c>
      <c r="F99" s="16" t="str">
        <f t="shared" ca="1" si="12"/>
        <v/>
      </c>
      <c r="G99" s="16"/>
      <c r="H99" s="22" t="str">
        <f ca="1">IFERROR(__xludf.dummyfunction("iferror(1000+INT(($N$4-(index(split(G99,"":""),1)*60+index(split(G99,"":""),2 )))/0.2+1)*$N$5,"""")"),"")</f>
        <v/>
      </c>
      <c r="I99" s="16" t="str">
        <f t="shared" ca="1" si="13"/>
        <v/>
      </c>
      <c r="J99" s="16" t="str">
        <f t="shared" si="11"/>
        <v/>
      </c>
      <c r="K99" s="16" t="str">
        <f t="shared" si="14"/>
        <v/>
      </c>
      <c r="L99" s="16"/>
    </row>
    <row r="100" spans="1:12" ht="14.5" x14ac:dyDescent="0.35">
      <c r="A100" s="16"/>
      <c r="B100" s="16"/>
      <c r="C100" s="16"/>
      <c r="D100" s="16"/>
      <c r="E100" s="22" t="str">
        <f ca="1">IFERROR(__xludf.dummyfunction("iferror(1000+INT(($N$2-(index(split(D100,"":""),1)*60+index(split(D100,"":""),2 )))/0.2+1)*$N$3,"""")"),"")</f>
        <v/>
      </c>
      <c r="F100" s="16" t="str">
        <f t="shared" ca="1" si="12"/>
        <v/>
      </c>
      <c r="G100" s="16"/>
      <c r="H100" s="22" t="str">
        <f ca="1">IFERROR(__xludf.dummyfunction("iferror(1000+INT(($N$4-(index(split(G100,"":""),1)*60+index(split(G100,"":""),2 )))/0.2+1)*$N$5,"""")"),"")</f>
        <v/>
      </c>
      <c r="I100" s="16" t="str">
        <f t="shared" ca="1" si="13"/>
        <v/>
      </c>
      <c r="J100" s="16" t="str">
        <f t="shared" si="11"/>
        <v/>
      </c>
      <c r="K100" s="16" t="str">
        <f t="shared" si="14"/>
        <v/>
      </c>
      <c r="L100" s="16"/>
    </row>
    <row r="101" spans="1:12" ht="14.5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4.5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4.5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4.5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4.5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4.5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4.5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4.5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4.5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4.5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4.5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4.5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4.5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4.5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4.5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4.5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4.5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4.5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4.5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4.5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4.5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4.5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4.5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4.5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4.5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4.5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4.5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4.5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4.5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4.5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4.5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4.5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4.5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4.5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4.5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4.5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4.5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4.5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4.5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4.5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4.5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4.5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4.5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4.5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4.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4.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4.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4.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4.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4.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4.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4.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4.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4.5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4.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4.5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4.5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4.5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4.5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4.5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4.5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4.5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ht="14.5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4.5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ht="14.5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ht="14.5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4.5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4.5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5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4.5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4.5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4.5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4.5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4.5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4.5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4.5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4.5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4.5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4.5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4.5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4.5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4.5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4.5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4.5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4.5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4.5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4.5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4.5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4.5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4.5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4.5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4.5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4.5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4.5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4.5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4.5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4.5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4.5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4.5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4.5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4.5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4.5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4.5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4.5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4.5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4.5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4.5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4.5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4.5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4.5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4.5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4.5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4.5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4.5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4.5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4.5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4.5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4.5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4.5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4.5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4.5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4.5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4.5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4.5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4.5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4.5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4.5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4.5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4.5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4.5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4.5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4.5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4.5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5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4.5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4.5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4.5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4.5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4.5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4.5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4.5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4.5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4.5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4.5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4.5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4.5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4.5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4.5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4.5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4.5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4.5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4.5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4.5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4.5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4.5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4.5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4.5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4.5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4.5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4.5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4.5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4.5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4.5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4.5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4.5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4.5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4.5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4.5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4.5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4.5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4.5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4.5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4.5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4.5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4.5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4.5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4.5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4.5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4.5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4.5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4.5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4.5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4.5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4.5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4.5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4.5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4.5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4.5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4.5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4.5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4.5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4.5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4.5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4.5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4.5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4.5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4.5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4.5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4.5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4.5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4.5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4.5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4.5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4.5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4.5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4.5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4.5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4.5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4.5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4.5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4.5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4.5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4.5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4.5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4.5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4.5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4.5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4.5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4.5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4.5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4.5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4.5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4.5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4.5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4.5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4.5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4.5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4.5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4.5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4.5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4.5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4.5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4.5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4.5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4.5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4.5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4.5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4.5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4.5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4.5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4.5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4.5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4.5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4.5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4.5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4.5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4.5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4.5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4.5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4.5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4.5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4.5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4.5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4.5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4.5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4.5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4.5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4.5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4.5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4.5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4.5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4.5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4.5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4.5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4.5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4.5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4.5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4.5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4.5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4.5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4.5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4.5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4.5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4.5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4.5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4.5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4.5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4.5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4.5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ht="14.5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ht="14.5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ht="14.5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ht="14.5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ht="14.5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ht="14.5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ht="14.5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ht="14.5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ht="14.5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ht="14.5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ht="14.5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ht="14.5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ht="14.5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ht="14.5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ht="14.5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ht="14.5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ht="14.5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ht="14.5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ht="14.5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ht="14.5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ht="14.5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ht="14.5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ht="14.5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ht="14.5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ht="14.5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ht="14.5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ht="14.5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ht="14.5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ht="14.5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ht="14.5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ht="14.5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ht="14.5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ht="14.5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ht="14.5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ht="14.5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ht="14.5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ht="14.5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ht="14.5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ht="14.5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ht="14.5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ht="14.5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ht="14.5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ht="14.5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ht="14.5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ht="14.5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ht="14.5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ht="14.5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ht="14.5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ht="14.5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ht="14.5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ht="14.5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ht="14.5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ht="14.5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ht="14.5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ht="14.5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ht="14.5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ht="14.5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ht="14.5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 ht="14.5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 ht="14.5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 ht="14.5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 ht="14.5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 ht="14.5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 ht="14.5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 ht="14.5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 ht="14.5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 ht="14.5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 ht="14.5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 ht="14.5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 ht="14.5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 ht="14.5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 ht="14.5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 ht="14.5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 ht="14.5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 ht="14.5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 ht="14.5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 ht="14.5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 ht="14.5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 ht="14.5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 ht="14.5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 ht="14.5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 ht="14.5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 ht="14.5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 ht="14.5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 ht="14.5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 ht="14.5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 ht="14.5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 ht="14.5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 ht="14.5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 ht="14.5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 ht="14.5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 ht="14.5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 ht="14.5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 ht="14.5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 ht="14.5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 ht="14.5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 ht="14.5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 ht="14.5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 ht="14.5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 ht="14.5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 ht="14.5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 ht="14.5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 ht="14.5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 ht="14.5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 ht="14.5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 ht="14.5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 ht="14.5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 ht="14.5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 ht="14.5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 ht="14.5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 ht="14.5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 ht="14.5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 ht="14.5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 ht="14.5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 ht="14.5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 ht="14.5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 ht="14.5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 ht="14.5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 ht="14.5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 ht="14.5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 ht="14.5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 ht="14.5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 ht="14.5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 ht="14.5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 ht="14.5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 ht="14.5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 ht="14.5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 ht="14.5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 ht="14.5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 ht="14.5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 ht="14.5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 ht="14.5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 ht="14.5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 ht="14.5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 ht="14.5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 ht="14.5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 ht="14.5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 ht="14.5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 ht="14.5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 ht="14.5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 ht="14.5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ht="14.5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ht="14.5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ht="14.5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ht="14.5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ht="14.5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ht="14.5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ht="14.5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ht="14.5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 ht="14.5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 ht="14.5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 ht="14.5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 ht="14.5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 ht="14.5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 ht="14.5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 ht="14.5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 ht="14.5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 ht="14.5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 ht="14.5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 ht="14.5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 ht="14.5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 ht="14.5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 ht="14.5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 ht="14.5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 ht="14.5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 ht="14.5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 ht="14.5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 ht="14.5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 ht="14.5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 ht="14.5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 ht="14.5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 ht="14.5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 ht="14.5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 ht="14.5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 ht="14.5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 ht="14.5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 ht="14.5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 ht="14.5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 ht="14.5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 ht="14.5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 ht="14.5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 ht="14.5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 ht="14.5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 ht="14.5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 ht="14.5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 ht="14.5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 ht="14.5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 ht="14.5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 ht="14.5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 ht="14.5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 ht="14.5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 ht="14.5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 ht="14.5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 ht="14.5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 ht="14.5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 ht="14.5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 ht="14.5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 ht="14.5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 ht="14.5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 ht="14.5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 ht="14.5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 ht="14.5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 ht="14.5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 ht="14.5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 ht="14.5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 ht="14.5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 ht="14.5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 ht="14.5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 ht="14.5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 ht="14.5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 ht="14.5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 ht="14.5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 ht="14.5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 ht="14.5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 ht="14.5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 ht="14.5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 ht="14.5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 ht="14.5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 ht="14.5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 ht="14.5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 ht="14.5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 ht="14.5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 ht="14.5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 ht="14.5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 ht="14.5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 ht="14.5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 ht="14.5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 ht="14.5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 ht="14.5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 ht="14.5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 ht="14.5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 ht="14.5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 ht="14.5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 ht="14.5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 ht="14.5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 ht="14.5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 ht="14.5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 ht="14.5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 ht="14.5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 ht="14.5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 ht="14.5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 ht="14.5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 ht="14.5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 ht="14.5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 ht="14.5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 ht="14.5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 ht="14.5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 ht="14.5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 ht="14.5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 ht="14.5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 ht="14.5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 ht="14.5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 ht="14.5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 ht="14.5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 ht="14.5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 ht="14.5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 ht="14.5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 ht="14.5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 ht="14.5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 ht="14.5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 ht="14.5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 ht="14.5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 ht="14.5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 ht="14.5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 ht="14.5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 ht="14.5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 ht="14.5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 ht="14.5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 ht="14.5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 ht="14.5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 ht="14.5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 ht="14.5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 ht="14.5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 ht="14.5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 ht="14.5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 ht="14.5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 ht="14.5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 ht="14.5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 ht="14.5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 ht="14.5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 ht="14.5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 ht="14.5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 ht="14.5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 ht="14.5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 ht="14.5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 ht="14.5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 ht="14.5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 ht="14.5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 ht="14.5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 ht="14.5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 ht="14.5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 ht="14.5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 ht="14.5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 ht="14.5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 ht="14.5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 ht="14.5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 ht="14.5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 ht="14.5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 ht="14.5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 ht="14.5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 ht="14.5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 ht="14.5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 ht="14.5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 ht="14.5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 ht="14.5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 ht="14.5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 ht="14.5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 ht="14.5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 ht="14.5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 ht="14.5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 ht="14.5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 ht="14.5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 ht="14.5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 ht="14.5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 ht="14.5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 ht="14.5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 ht="14.5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 ht="14.5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 ht="14.5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 ht="14.5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 ht="14.5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 ht="14.5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 ht="14.5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 ht="14.5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 ht="14.5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 ht="14.5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 ht="14.5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 ht="14.5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 ht="14.5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 ht="14.5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 ht="14.5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 ht="14.5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 ht="14.5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 ht="14.5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 ht="14.5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 ht="14.5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 ht="14.5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 ht="14.5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 ht="14.5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 ht="14.5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 ht="14.5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 ht="14.5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 ht="14.5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 ht="14.5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 ht="14.5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 ht="14.5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 ht="14.5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 ht="14.5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 ht="14.5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 ht="14.5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 ht="14.5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 ht="14.5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 ht="14.5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 ht="14.5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 ht="14.5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 ht="14.5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 ht="14.5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 ht="14.5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 ht="14.5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 ht="14.5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 ht="14.5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 ht="14.5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 ht="14.5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 ht="14.5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 ht="14.5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 ht="14.5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 ht="14.5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 ht="14.5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 ht="14.5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 ht="14.5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 ht="14.5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 ht="14.5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 ht="14.5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 ht="14.5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 ht="14.5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 ht="14.5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 ht="14.5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 ht="14.5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 ht="14.5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 ht="14.5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 ht="14.5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 ht="14.5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 ht="14.5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 ht="14.5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 ht="14.5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 ht="14.5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 ht="14.5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 ht="14.5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 ht="14.5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 ht="14.5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 ht="14.5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 ht="14.5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 ht="14.5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 ht="14.5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 ht="14.5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 ht="14.5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 ht="14.5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 ht="14.5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 ht="14.5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 ht="14.5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 ht="14.5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 ht="14.5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 ht="14.5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 ht="14.5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 ht="14.5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 ht="14.5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 ht="14.5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 ht="14.5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 ht="14.5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 ht="14.5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 ht="14.5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 ht="14.5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 ht="14.5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 ht="14.5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 ht="14.5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 ht="14.5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 ht="14.5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 ht="14.5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 ht="14.5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 ht="14.5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 ht="14.5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 ht="14.5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 ht="14.5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 ht="14.5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 ht="14.5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 ht="14.5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 ht="14.5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 ht="14.5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 ht="14.5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 ht="14.5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 ht="14.5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 ht="14.5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 ht="14.5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 ht="14.5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 ht="14.5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 ht="14.5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 ht="14.5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 ht="14.5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 ht="14.5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 ht="14.5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 ht="14.5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 ht="14.5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 ht="14.5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 ht="14.5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 ht="14.5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 ht="14.5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 ht="14.5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 ht="14.5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 ht="14.5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 ht="14.5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 ht="14.5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 ht="14.5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 ht="14.5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 ht="14.5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 ht="14.5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 ht="14.5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 ht="14.5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 ht="14.5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 ht="14.5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 ht="14.5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 ht="14.5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 ht="14.5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 ht="14.5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 ht="14.5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 ht="14.5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 ht="14.5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 ht="14.5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 ht="14.5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 ht="14.5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 ht="14.5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 ht="14.5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 ht="14.5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 ht="14.5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 ht="14.5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 ht="14.5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 ht="14.5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 ht="14.5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 ht="14.5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 ht="14.5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 ht="14.5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 ht="14.5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 ht="14.5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 ht="14.5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 ht="14.5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 ht="14.5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 ht="14.5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 ht="14.5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 ht="14.5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 ht="14.5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 ht="14.5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 ht="14.5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 ht="14.5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 ht="14.5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 ht="14.5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 ht="14.5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 ht="14.5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 ht="14.5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 ht="14.5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 ht="14.5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 ht="14.5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 ht="14.5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 ht="14.5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 ht="14.5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 ht="14.5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 ht="14.5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 ht="14.5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 ht="14.5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 ht="14.5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 ht="14.5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 ht="14.5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 ht="14.5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 ht="14.5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 ht="14.5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 ht="14.5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 ht="14.5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 ht="14.5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 ht="14.5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 ht="14.5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 ht="14.5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 ht="14.5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 ht="14.5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 ht="14.5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 ht="14.5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 ht="14.5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 ht="14.5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 ht="14.5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 ht="14.5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 ht="14.5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 ht="14.5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 ht="14.5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 ht="14.5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 ht="14.5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 ht="14.5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 ht="14.5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 ht="14.5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 ht="14.5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 ht="14.5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 ht="14.5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 ht="14.5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 ht="14.5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 ht="14.5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 ht="14.5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 ht="14.5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 ht="14.5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 ht="14.5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 ht="14.5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</sheetData>
  <sortState xmlns:xlrd2="http://schemas.microsoft.com/office/spreadsheetml/2017/richdata2" ref="A2:L4">
    <sortCondition ref="K2:K4"/>
  </sortState>
  <printOptions horizontalCentered="1" gridLines="1"/>
  <pageMargins left="0.7" right="0.7" top="1.1437499999999998" bottom="1.1437499999999998" header="0.75" footer="0.75"/>
  <pageSetup paperSize="0" fitToWidth="0" fitToHeight="0" pageOrder="overThenDown" orientation="landscape" horizontalDpi="0" verticalDpi="0" copies="0"/>
  <headerFooter alignWithMargins="0"/>
  <ignoredErrors>
    <ignoredError sqref="J2:J94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'Scoring tables'!$A$2:$A$57</xm:f>
          </x14:formula1>
          <xm:sqref>L1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workbookViewId="0">
      <selection activeCell="G13" sqref="G13"/>
    </sheetView>
  </sheetViews>
  <sheetFormatPr defaultRowHeight="15.75" customHeight="1" x14ac:dyDescent="0.35"/>
  <cols>
    <col min="1" max="1" width="10.4140625" style="25" customWidth="1"/>
    <col min="2" max="2" width="23.58203125" style="25" customWidth="1"/>
    <col min="3" max="3" width="22.4140625" style="25" customWidth="1"/>
    <col min="4" max="11" width="8.4140625" style="25" customWidth="1"/>
    <col min="12" max="1024" width="11.6640625" style="25" customWidth="1"/>
    <col min="1025" max="16384" width="8.6640625" style="25"/>
  </cols>
  <sheetData>
    <row r="1" spans="1:14" ht="30.75" customHeight="1" x14ac:dyDescent="0.35">
      <c r="A1" s="20" t="s">
        <v>0</v>
      </c>
      <c r="B1" s="20" t="s">
        <v>26</v>
      </c>
      <c r="C1" s="20" t="s">
        <v>27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24</v>
      </c>
    </row>
    <row r="2" spans="1:14" ht="14.5" x14ac:dyDescent="0.35">
      <c r="A2" s="16">
        <f ca="1">IFERROR(__xludf.dummyfunction("""COMPUTED_VALUE"""),187)</f>
        <v>187</v>
      </c>
      <c r="B2" s="5" t="str">
        <f ca="1">IFERROR(__xludf.dummyfunction("""COMPUTED_VALUE"""),"Shona Fletcher")</f>
        <v>Shona Fletcher</v>
      </c>
      <c r="C2" s="5" t="str">
        <f ca="1">IFERROR(__xludf.dummyfunction("""COMPUTED_VALUE"""),"Cundall Manor School")</f>
        <v>Cundall Manor School</v>
      </c>
      <c r="D2" s="16" t="s">
        <v>339</v>
      </c>
      <c r="E2" s="22">
        <f ca="1">IFERROR(__xludf.dummyfunction("iferror(1000+INT(($N$2-(index(split(D7,"":""),1)*60+index(split(D7,"":""),2 )))/0.2+1)*$N$3,"""")"),1186)</f>
        <v>1186</v>
      </c>
      <c r="F2" s="16">
        <f ca="1">IFERROR(_xlfn.RANK.EQ(E2,E:E),"")</f>
        <v>2</v>
      </c>
      <c r="G2" s="16" t="s">
        <v>340</v>
      </c>
      <c r="H2" s="22">
        <f ca="1">IFERROR(__xludf.dummyfunction("iferror(1000+INT(($N$4-(index(split(G7,"":""),1)*60+index(split(G7,"":""),2 )))/0.2+1)*$N$5,"""")"),1543)</f>
        <v>1543</v>
      </c>
      <c r="I2" s="16">
        <f ca="1">IFERROR(_xlfn.RANK.EQ(H2,H:H),"")</f>
        <v>2</v>
      </c>
      <c r="J2" s="22">
        <f ca="1">IF(AND(D2="", G2=""), "", E2+H2)</f>
        <v>2729</v>
      </c>
      <c r="K2" s="16">
        <f ca="1">IFERROR(_xlfn.RANK.EQ(J2,J:J),"")</f>
        <v>1</v>
      </c>
      <c r="L2" s="16"/>
      <c r="M2" s="21" t="s">
        <v>38</v>
      </c>
      <c r="N2" s="26">
        <f>VLOOKUP($L$1,'Scoring tables'!$A$2:$K$57,10,0)</f>
        <v>40</v>
      </c>
    </row>
    <row r="3" spans="1:14" ht="14.5" x14ac:dyDescent="0.35">
      <c r="A3" s="16">
        <f ca="1">IFERROR(__xludf.dummyfunction("Query(Entries!$A$2:$U$1205,""select A,C,D where B = '""&amp;L1&amp;""'"")"),182)</f>
        <v>182</v>
      </c>
      <c r="B3" s="5" t="str">
        <f ca="1">IFERROR(__xludf.dummyfunction("""COMPUTED_VALUE"""),"Helen Wilkinson")</f>
        <v>Helen Wilkinson</v>
      </c>
      <c r="C3" s="5" t="str">
        <f ca="1">IFERROR(__xludf.dummyfunction("""COMPUTED_VALUE"""),"Bootham School")</f>
        <v>Bootham School</v>
      </c>
      <c r="D3" s="16" t="s">
        <v>331</v>
      </c>
      <c r="E3" s="22">
        <f ca="1">IFERROR(__xludf.dummyfunction("iferror(1000+INT(($N$2-(index(split(D2,"":""),1)*60+index(split(D2,"":""),2 )))/0.2+1)*$N$3,"""")"),1066)</f>
        <v>1066</v>
      </c>
      <c r="F3" s="16">
        <f ca="1">IFERROR(_xlfn.RANK.EQ(E3,E:E),"")</f>
        <v>3</v>
      </c>
      <c r="G3" s="22" t="s">
        <v>332</v>
      </c>
      <c r="H3" s="22">
        <f ca="1">IFERROR(__xludf.dummyfunction("iferror(1000+INT(($N$4-(index(split(G2,"":""),1)*60+index(split(G2,"":""),2 )))/0.2+1)*$N$5,"""")"),1618)</f>
        <v>1618</v>
      </c>
      <c r="I3" s="16">
        <f ca="1">IFERROR(_xlfn.RANK.EQ(H3,H:H),"")</f>
        <v>1</v>
      </c>
      <c r="J3" s="22">
        <f t="shared" ref="J3:J14" ca="1" si="0">IF(AND(D3="", G3=""), "", E3+H3)</f>
        <v>2684</v>
      </c>
      <c r="K3" s="16">
        <f ca="1">IFERROR(_xlfn.RANK.EQ(J3,J:J),"")</f>
        <v>2</v>
      </c>
      <c r="L3" s="16"/>
      <c r="M3" s="21" t="s">
        <v>39</v>
      </c>
      <c r="N3" s="26">
        <f>VLOOKUP($L$1,'Scoring tables'!$A$2:$K$57,11,0)</f>
        <v>6</v>
      </c>
    </row>
    <row r="4" spans="1:14" ht="14.5" x14ac:dyDescent="0.35">
      <c r="A4" s="16">
        <f ca="1">IFERROR(__xludf.dummyfunction("""COMPUTED_VALUE"""),185)</f>
        <v>185</v>
      </c>
      <c r="B4" s="5" t="str">
        <f ca="1">IFERROR(__xludf.dummyfunction("""COMPUTED_VALUE"""),"Kelly Louise Sivill")</f>
        <v>Kelly Louise Sivill</v>
      </c>
      <c r="C4" s="5"/>
      <c r="D4" s="16" t="s">
        <v>335</v>
      </c>
      <c r="E4" s="22">
        <f ca="1">IFERROR(__xludf.dummyfunction("iferror(1000+INT(($N$2-(index(split(D5,"":""),1)*60+index(split(D5,"":""),2 )))/0.2+1)*$N$3,"""")"),1306)</f>
        <v>1306</v>
      </c>
      <c r="F4" s="16">
        <f ca="1">IFERROR(_xlfn.RANK.EQ(E4,E:E),"")</f>
        <v>1</v>
      </c>
      <c r="G4" s="16" t="s">
        <v>336</v>
      </c>
      <c r="H4" s="22">
        <f ca="1">IFERROR(__xludf.dummyfunction("iferror(1000+INT(($N$4-(index(split(G5,"":""),1)*60+index(split(G5,"":""),2 )))/0.2+1)*$N$5,"""")"),1357)</f>
        <v>1357</v>
      </c>
      <c r="I4" s="16">
        <f ca="1">IFERROR(_xlfn.RANK.EQ(H4,H:H),"")</f>
        <v>4</v>
      </c>
      <c r="J4" s="22">
        <f t="shared" ca="1" si="0"/>
        <v>2663</v>
      </c>
      <c r="K4" s="16">
        <f ca="1">IFERROR(_xlfn.RANK.EQ(J4,J:J),"")</f>
        <v>3</v>
      </c>
      <c r="L4" s="16"/>
      <c r="M4" s="21" t="s">
        <v>31</v>
      </c>
      <c r="N4" s="26">
        <f>VLOOKUP($L$1,'Scoring tables'!$A$2:$K$57,5,0)</f>
        <v>200</v>
      </c>
    </row>
    <row r="5" spans="1:14" ht="14.5" x14ac:dyDescent="0.35">
      <c r="A5" s="16">
        <f ca="1">IFERROR(__xludf.dummyfunction("""COMPUTED_VALUE"""),188)</f>
        <v>188</v>
      </c>
      <c r="B5" s="5" t="str">
        <f ca="1">IFERROR(__xludf.dummyfunction("""COMPUTED_VALUE"""),"Olivia Wiggans")</f>
        <v>Olivia Wiggans</v>
      </c>
      <c r="C5" s="5" t="str">
        <f ca="1">IFERROR(__xludf.dummyfunction("""COMPUTED_VALUE"""),"Westwood Primary School")</f>
        <v>Westwood Primary School</v>
      </c>
      <c r="D5" s="23" t="s">
        <v>341</v>
      </c>
      <c r="E5" s="22">
        <f ca="1">IFERROR(__xludf.dummyfunction("iferror(1000+INT(($N$2-(index(split(D8,"":""),1)*60+index(split(D8,"":""),2 )))/0.2+1)*$N$3,"""")"),856)</f>
        <v>856</v>
      </c>
      <c r="F5" s="16">
        <f ca="1">IFERROR(_xlfn.RANK.EQ(E5,E:E),"")</f>
        <v>4</v>
      </c>
      <c r="G5" s="16" t="s">
        <v>342</v>
      </c>
      <c r="H5" s="22">
        <f ca="1">IFERROR(__xludf.dummyfunction("iferror(1000+INT(($N$4-(index(split(G8,"":""),1)*60+index(split(G8,"":""),2 )))/0.2+1)*$N$5,"""")"),1429)</f>
        <v>1429</v>
      </c>
      <c r="I5" s="16">
        <f ca="1">IFERROR(_xlfn.RANK.EQ(H5,H:H),"")</f>
        <v>3</v>
      </c>
      <c r="J5" s="22">
        <f t="shared" ca="1" si="0"/>
        <v>2285</v>
      </c>
      <c r="K5" s="16">
        <f ca="1">IFERROR(_xlfn.RANK.EQ(J5,J:J),"")</f>
        <v>4</v>
      </c>
      <c r="L5" s="16"/>
      <c r="M5" s="21" t="s">
        <v>32</v>
      </c>
      <c r="N5" s="26">
        <f>VLOOKUP($L$1,'Scoring tables'!$A$2:$K$57,6,0)</f>
        <v>3</v>
      </c>
    </row>
    <row r="6" spans="1:14" ht="14.5" x14ac:dyDescent="0.35">
      <c r="A6" s="16">
        <f ca="1">IFERROR(__xludf.dummyfunction("""COMPUTED_VALUE"""),186)</f>
        <v>186</v>
      </c>
      <c r="B6" s="5" t="str">
        <f ca="1">IFERROR(__xludf.dummyfunction("""COMPUTED_VALUE"""),"Claire Greaves")</f>
        <v>Claire Greaves</v>
      </c>
      <c r="C6" s="5"/>
      <c r="D6" s="16" t="s">
        <v>337</v>
      </c>
      <c r="E6" s="22">
        <f ca="1">IFERROR(__xludf.dummyfunction("iferror(1000+INT(($N$2-(index(split(D6,"":""),1)*60+index(split(D6,"":""),2 )))/0.2+1)*$N$3,"""")"),820)</f>
        <v>820</v>
      </c>
      <c r="F6" s="16">
        <f ca="1">IFERROR(_xlfn.RANK.EQ(E6,E:E),"")</f>
        <v>5</v>
      </c>
      <c r="G6" s="16" t="s">
        <v>338</v>
      </c>
      <c r="H6" s="22">
        <f ca="1">IFERROR(__xludf.dummyfunction("iferror(1000+INT(($N$4-(index(split(G6,"":""),1)*60+index(split(G6,"":""),2 )))/0.2+1)*$N$5,"""")"),610)</f>
        <v>610</v>
      </c>
      <c r="I6" s="16">
        <f ca="1">IFERROR(_xlfn.RANK.EQ(H6,H:H),"")</f>
        <v>5</v>
      </c>
      <c r="J6" s="22">
        <f t="shared" ca="1" si="0"/>
        <v>1430</v>
      </c>
      <c r="K6" s="16">
        <f ca="1">IFERROR(_xlfn.RANK.EQ(J6,J:J),"")</f>
        <v>5</v>
      </c>
      <c r="L6" s="16"/>
    </row>
    <row r="7" spans="1:14" ht="14.5" x14ac:dyDescent="0.35">
      <c r="A7" s="16">
        <f ca="1">IFERROR(__xludf.dummyfunction("""COMPUTED_VALUE"""),183)</f>
        <v>183</v>
      </c>
      <c r="B7" s="5" t="str">
        <f ca="1">IFERROR(__xludf.dummyfunction("""COMPUTED_VALUE"""),"Rachel Massey")</f>
        <v>Rachel Massey</v>
      </c>
      <c r="C7" s="5"/>
      <c r="D7" s="16" t="s">
        <v>333</v>
      </c>
      <c r="E7" s="22">
        <f ca="1">IFERROR(__xludf.dummyfunction("iferror(1000+INT(($N$2-(index(split(D3,"":""),1)*60+index(split(D3,"":""),2 )))/0.2+1)*$N$3,"""")"),-104)</f>
        <v>-104</v>
      </c>
      <c r="F7" s="16">
        <f ca="1">IFERROR(_xlfn.RANK.EQ(E7,E:E),"")</f>
        <v>6</v>
      </c>
      <c r="G7" s="16" t="s">
        <v>334</v>
      </c>
      <c r="H7" s="22">
        <f ca="1">IFERROR(__xludf.dummyfunction("iferror(1000+INT(($N$4-(index(split(G3,"":""),1)*60+index(split(G3,"":""),2 )))/0.2+1)*$N$5,"""")"),-1040)</f>
        <v>-1040</v>
      </c>
      <c r="I7" s="16">
        <f ca="1">IFERROR(_xlfn.RANK.EQ(H7,H:H),"")</f>
        <v>6</v>
      </c>
      <c r="J7" s="22">
        <f t="shared" ca="1" si="0"/>
        <v>-1144</v>
      </c>
      <c r="K7" s="16">
        <f ca="1">IFERROR(_xlfn.RANK.EQ(J7,J:J),"")</f>
        <v>6</v>
      </c>
      <c r="L7" s="16"/>
    </row>
    <row r="8" spans="1:14" ht="14.5" x14ac:dyDescent="0.35">
      <c r="A8" s="28">
        <f ca="1">IFERROR(__xludf.dummyfunction("""COMPUTED_VALUE"""),184)</f>
        <v>184</v>
      </c>
      <c r="B8" s="29" t="str">
        <f ca="1">IFERROR(__xludf.dummyfunction("""COMPUTED_VALUE"""),"Joanne Dulson-Cox")</f>
        <v>Joanne Dulson-Cox</v>
      </c>
      <c r="C8" s="29"/>
      <c r="D8" s="28"/>
      <c r="E8" s="30" t="str">
        <f ca="1">IFERROR(__xludf.dummyfunction("iferror(1000+INT(($N$2-(index(split(D4,"":""),1)*60+index(split(D4,"":""),2 )))/0.2+1)*$N$3,"""")"),"")</f>
        <v/>
      </c>
      <c r="F8" s="28" t="str">
        <f ca="1">IFERROR(_xlfn.RANK.EQ(E8,E:E),"")</f>
        <v/>
      </c>
      <c r="G8" s="28"/>
      <c r="H8" s="30" t="str">
        <f ca="1">IFERROR(__xludf.dummyfunction("iferror(1000+INT(($N$4-(index(split(G4,"":""),1)*60+index(split(G4,"":""),2 )))/0.2+1)*$N$5,"""")"),"")</f>
        <v/>
      </c>
      <c r="I8" s="28" t="str">
        <f ca="1">IFERROR(_xlfn.RANK.EQ(H8,H:H),"")</f>
        <v/>
      </c>
      <c r="J8" s="30" t="str">
        <f t="shared" si="0"/>
        <v/>
      </c>
      <c r="K8" s="28" t="s">
        <v>444</v>
      </c>
      <c r="L8" s="16"/>
    </row>
    <row r="9" spans="1:14" ht="14.5" x14ac:dyDescent="0.35">
      <c r="A9" s="16"/>
      <c r="B9" s="16"/>
      <c r="C9" s="16"/>
      <c r="D9" s="16"/>
      <c r="E9" s="22" t="str">
        <f ca="1">IFERROR(__xludf.dummyfunction("iferror(1000+INT(($N$2-(index(split(D9,"":""),1)*60+index(split(D9,"":""),2 )))/0.2+1)*$N$3,"""")"),"")</f>
        <v/>
      </c>
      <c r="F9" s="16" t="str">
        <f ca="1">IFERROR(_xlfn.RANK.EQ(E9,E:E),"")</f>
        <v/>
      </c>
      <c r="G9" s="16"/>
      <c r="H9" s="22" t="str">
        <f ca="1">IFERROR(__xludf.dummyfunction("iferror(1000+INT(($N$4-(index(split(G9,"":""),1)*60+index(split(G9,"":""),2 )))/0.2+1)*$N$5,"""")"),"")</f>
        <v/>
      </c>
      <c r="I9" s="16" t="str">
        <f ca="1">IFERROR(_xlfn.RANK.EQ(H9,H:H),"")</f>
        <v/>
      </c>
      <c r="J9" s="22" t="str">
        <f t="shared" si="0"/>
        <v/>
      </c>
      <c r="K9" s="16" t="str">
        <f>IFERROR(_xlfn.RANK.EQ(J9,J:J),"")</f>
        <v/>
      </c>
      <c r="L9" s="16"/>
    </row>
    <row r="10" spans="1:14" ht="14.5" x14ac:dyDescent="0.35">
      <c r="A10" s="16"/>
      <c r="B10" s="16"/>
      <c r="C10" s="16"/>
      <c r="D10" s="16"/>
      <c r="E10" s="22" t="str">
        <f ca="1">IFERROR(__xludf.dummyfunction("iferror(1000+INT(($N$2-(index(split(D10,"":""),1)*60+index(split(D10,"":""),2 )))/0.2+1)*$N$3,"""")"),"")</f>
        <v/>
      </c>
      <c r="F10" s="16" t="str">
        <f ca="1">IFERROR(_xlfn.RANK.EQ(E10,E:E),"")</f>
        <v/>
      </c>
      <c r="G10" s="16"/>
      <c r="H10" s="22" t="str">
        <f ca="1">IFERROR(__xludf.dummyfunction("iferror(1000+INT(($N$4-(index(split(G10,"":""),1)*60+index(split(G10,"":""),2 )))/0.2+1)*$N$5,"""")"),"")</f>
        <v/>
      </c>
      <c r="I10" s="16" t="str">
        <f ca="1">IFERROR(_xlfn.RANK.EQ(H10,H:H),"")</f>
        <v/>
      </c>
      <c r="J10" s="22" t="str">
        <f t="shared" si="0"/>
        <v/>
      </c>
      <c r="K10" s="16" t="str">
        <f>IFERROR(_xlfn.RANK.EQ(J10,J:J),"")</f>
        <v/>
      </c>
      <c r="L10" s="16"/>
    </row>
    <row r="11" spans="1:14" ht="14.5" x14ac:dyDescent="0.35">
      <c r="A11" s="16"/>
      <c r="B11" s="16"/>
      <c r="C11" s="16"/>
      <c r="D11" s="16"/>
      <c r="E11" s="22" t="str">
        <f ca="1">IFERROR(__xludf.dummyfunction("iferror(1000+INT(($N$2-(index(split(D11,"":""),1)*60+index(split(D11,"":""),2 )))/0.2+1)*$N$3,"""")"),"")</f>
        <v/>
      </c>
      <c r="F11" s="16" t="str">
        <f t="shared" ref="F2:F20" ca="1" si="1">IFERROR(_xlfn.RANK.EQ(E11,E:E),"")</f>
        <v/>
      </c>
      <c r="G11" s="16"/>
      <c r="H11" s="22" t="str">
        <f ca="1">IFERROR(__xludf.dummyfunction("iferror(1000+INT(($N$4-(index(split(G11,"":""),1)*60+index(split(G11,"":""),2 )))/0.2+1)*$N$5,"""")"),"")</f>
        <v/>
      </c>
      <c r="I11" s="16" t="str">
        <f t="shared" ref="I2:I21" ca="1" si="2">IFERROR(_xlfn.RANK.EQ(H11,H:H),"")</f>
        <v/>
      </c>
      <c r="J11" s="22" t="str">
        <f t="shared" si="0"/>
        <v/>
      </c>
      <c r="K11" s="16" t="str">
        <f t="shared" ref="K2:K12" si="3">IFERROR(_xlfn.RANK.EQ(J11,J:J),"")</f>
        <v/>
      </c>
      <c r="L11" s="16"/>
    </row>
    <row r="12" spans="1:14" ht="14.5" x14ac:dyDescent="0.35">
      <c r="A12" s="16"/>
      <c r="B12" s="16"/>
      <c r="C12" s="16"/>
      <c r="D12" s="16"/>
      <c r="E12" s="22" t="str">
        <f ca="1">IFERROR(__xludf.dummyfunction("iferror(1000+INT(($N$2-(index(split(D12,"":""),1)*60+index(split(D12,"":""),2 )))/0.2+1)*$N$3,"""")"),"")</f>
        <v/>
      </c>
      <c r="F12" s="16" t="str">
        <f t="shared" ca="1" si="1"/>
        <v/>
      </c>
      <c r="G12" s="16"/>
      <c r="H12" s="22" t="str">
        <f ca="1">IFERROR(__xludf.dummyfunction("iferror(1000+INT(($N$4-(index(split(G12,"":""),1)*60+index(split(G12,"":""),2 )))/0.2+1)*$N$5,"""")"),"")</f>
        <v/>
      </c>
      <c r="I12" s="16" t="str">
        <f t="shared" ca="1" si="2"/>
        <v/>
      </c>
      <c r="J12" s="22" t="str">
        <f t="shared" si="0"/>
        <v/>
      </c>
      <c r="K12" s="16" t="str">
        <f t="shared" si="3"/>
        <v/>
      </c>
      <c r="L12" s="16"/>
    </row>
    <row r="13" spans="1:14" ht="14.5" x14ac:dyDescent="0.35">
      <c r="A13" s="16"/>
      <c r="B13" s="16"/>
      <c r="C13" s="16"/>
      <c r="D13" s="16"/>
      <c r="E13" s="22" t="str">
        <f ca="1">IFERROR(__xludf.dummyfunction("iferror(1000+INT(($N$2-(index(split(D13,"":""),1)*60+index(split(D13,"":""),2 )))/0.2+1)*$N$3,"""")"),"")</f>
        <v/>
      </c>
      <c r="F13" s="16" t="str">
        <f t="shared" ca="1" si="1"/>
        <v/>
      </c>
      <c r="G13" s="16"/>
      <c r="H13" s="22" t="str">
        <f ca="1">IFERROR(__xludf.dummyfunction("iferror(1000+INT(($N$4-(index(split(G13,"":""),1)*60+index(split(G13,"":""),2 )))/0.2+1)*$N$5,"""")"),"")</f>
        <v/>
      </c>
      <c r="I13" s="16" t="str">
        <f t="shared" ca="1" si="2"/>
        <v/>
      </c>
      <c r="J13" s="22" t="str">
        <f t="shared" si="0"/>
        <v/>
      </c>
      <c r="K13" s="16"/>
      <c r="L13" s="16"/>
    </row>
    <row r="14" spans="1:14" ht="14.5" x14ac:dyDescent="0.35">
      <c r="A14" s="16"/>
      <c r="B14" s="16"/>
      <c r="C14" s="16"/>
      <c r="D14" s="16"/>
      <c r="E14" s="22" t="str">
        <f ca="1">IFERROR(__xludf.dummyfunction("iferror(1000+INT(($N$2-(index(split(D14,"":""),1)*60+index(split(D14,"":""),2 )))/0.2+1)*$N$3,"""")"),"")</f>
        <v/>
      </c>
      <c r="F14" s="16" t="str">
        <f t="shared" ca="1" si="1"/>
        <v/>
      </c>
      <c r="G14" s="16"/>
      <c r="H14" s="22" t="str">
        <f ca="1">IFERROR(__xludf.dummyfunction("iferror(1000+INT(($N$4-(index(split(G14,"":""),1)*60+index(split(G14,"":""),2 )))/0.2+1)*$N$5,"""")"),"")</f>
        <v/>
      </c>
      <c r="I14" s="16" t="str">
        <f t="shared" ca="1" si="2"/>
        <v/>
      </c>
      <c r="J14" s="22" t="str">
        <f t="shared" si="0"/>
        <v/>
      </c>
      <c r="K14" s="16"/>
      <c r="L14" s="16"/>
    </row>
    <row r="15" spans="1:14" ht="14.5" x14ac:dyDescent="0.35">
      <c r="A15" s="16"/>
      <c r="B15" s="16"/>
      <c r="C15" s="16"/>
      <c r="D15" s="16"/>
      <c r="E15" s="22" t="str">
        <f ca="1">IFERROR(__xludf.dummyfunction("iferror(1000+INT(($N$2-(index(split(D15,"":""),1)*60+index(split(D15,"":""),2 )))/0.2+1)*$N$3,"""")"),"")</f>
        <v/>
      </c>
      <c r="F15" s="16" t="str">
        <f t="shared" ca="1" si="1"/>
        <v/>
      </c>
      <c r="G15" s="16"/>
      <c r="H15" s="22" t="str">
        <f ca="1">IFERROR(__xludf.dummyfunction("iferror(1000+INT(($N$4-(index(split(G15,"":""),1)*60+index(split(G15,"":""),2 )))/0.2+1)*$N$5,"""")"),"")</f>
        <v/>
      </c>
      <c r="I15" s="16" t="str">
        <f t="shared" ca="1" si="2"/>
        <v/>
      </c>
      <c r="J15" s="16" t="str">
        <f t="shared" ref="J2:J18" si="4">IF(AND(D15="", G15=""), "", E15+H15)</f>
        <v/>
      </c>
      <c r="K15" s="16"/>
      <c r="L15" s="16"/>
    </row>
    <row r="16" spans="1:14" ht="14.5" x14ac:dyDescent="0.35">
      <c r="A16" s="16"/>
      <c r="B16" s="16"/>
      <c r="C16" s="16"/>
      <c r="D16" s="16"/>
      <c r="E16" s="22" t="str">
        <f ca="1">IFERROR(__xludf.dummyfunction("iferror(1000+INT(($N$2-(index(split(D16,"":""),1)*60+index(split(D16,"":""),2 )))/0.2+1)*$N$3,"""")"),"")</f>
        <v/>
      </c>
      <c r="F16" s="16" t="str">
        <f t="shared" ca="1" si="1"/>
        <v/>
      </c>
      <c r="G16" s="16"/>
      <c r="H16" s="22" t="str">
        <f ca="1">IFERROR(__xludf.dummyfunction("iferror(1000+INT(($N$4-(index(split(G16,"":""),1)*60+index(split(G16,"":""),2 )))/0.2+1)*$N$5,"""")"),"")</f>
        <v/>
      </c>
      <c r="I16" s="16" t="str">
        <f t="shared" ca="1" si="2"/>
        <v/>
      </c>
      <c r="J16" s="16" t="str">
        <f t="shared" si="4"/>
        <v/>
      </c>
      <c r="K16" s="16"/>
      <c r="L16" s="16"/>
    </row>
    <row r="17" spans="1:12" ht="14.5" x14ac:dyDescent="0.35">
      <c r="A17" s="16"/>
      <c r="B17" s="16"/>
      <c r="C17" s="16"/>
      <c r="D17" s="16"/>
      <c r="E17" s="22" t="str">
        <f ca="1">IFERROR(__xludf.dummyfunction("iferror(1000+INT(($N$2-(index(split(D17,"":""),1)*60+index(split(D17,"":""),2 )))/0.2+1)*$N$3,"""")"),"")</f>
        <v/>
      </c>
      <c r="F17" s="16" t="str">
        <f t="shared" ca="1" si="1"/>
        <v/>
      </c>
      <c r="G17" s="16"/>
      <c r="H17" s="22" t="str">
        <f ca="1">IFERROR(__xludf.dummyfunction("iferror(1000+INT(($N$4-(index(split(G17,"":""),1)*60+index(split(G17,"":""),2 )))/0.2+1)*$N$5,"""")"),"")</f>
        <v/>
      </c>
      <c r="I17" s="16" t="str">
        <f t="shared" ca="1" si="2"/>
        <v/>
      </c>
      <c r="J17" s="16" t="str">
        <f t="shared" si="4"/>
        <v/>
      </c>
      <c r="K17" s="16"/>
      <c r="L17" s="16"/>
    </row>
    <row r="18" spans="1:12" ht="14.5" x14ac:dyDescent="0.35">
      <c r="A18" s="16"/>
      <c r="B18" s="16"/>
      <c r="C18" s="16"/>
      <c r="D18" s="16"/>
      <c r="E18" s="22" t="str">
        <f ca="1">IFERROR(__xludf.dummyfunction("iferror(1000+INT(($N$2-(index(split(D18,"":""),1)*60+index(split(D18,"":""),2 )))/0.2+1)*$N$3,"""")"),"")</f>
        <v/>
      </c>
      <c r="F18" s="16" t="str">
        <f t="shared" ca="1" si="1"/>
        <v/>
      </c>
      <c r="G18" s="16"/>
      <c r="H18" s="22" t="str">
        <f ca="1">IFERROR(__xludf.dummyfunction("iferror(1000+INT(($N$4-(index(split(G18,"":""),1)*60+index(split(G18,"":""),2 )))/0.2+1)*$N$5,"""")"),"")</f>
        <v/>
      </c>
      <c r="I18" s="16" t="str">
        <f t="shared" ca="1" si="2"/>
        <v/>
      </c>
      <c r="J18" s="16" t="str">
        <f t="shared" si="4"/>
        <v/>
      </c>
      <c r="K18" s="16"/>
      <c r="L18" s="16"/>
    </row>
    <row r="19" spans="1:12" ht="14.5" x14ac:dyDescent="0.35">
      <c r="A19" s="16"/>
      <c r="B19" s="16"/>
      <c r="C19" s="16"/>
      <c r="D19" s="16"/>
      <c r="E19" s="22" t="str">
        <f ca="1">IFERROR(__xludf.dummyfunction("iferror(1000+INT(($N$2-(index(split(D19,"":""),1)*60+index(split(D19,"":""),2 )))/0.2+1)*$N$3,"""")"),"")</f>
        <v/>
      </c>
      <c r="F19" s="16" t="str">
        <f t="shared" ca="1" si="1"/>
        <v/>
      </c>
      <c r="G19" s="16"/>
      <c r="H19" s="22" t="str">
        <f ca="1">IFERROR(__xludf.dummyfunction("iferror(1000+INT(($N$4-(index(split(G19,"":""),1)*60+index(split(G19,"":""),2 )))/0.2+1)*$N$5,"""")"),"")</f>
        <v/>
      </c>
      <c r="I19" s="16" t="str">
        <f t="shared" ca="1" si="2"/>
        <v/>
      </c>
      <c r="J19" s="16"/>
      <c r="K19" s="16"/>
      <c r="L19" s="16"/>
    </row>
    <row r="20" spans="1:12" ht="14.5" x14ac:dyDescent="0.35">
      <c r="A20" s="16"/>
      <c r="B20" s="16"/>
      <c r="C20" s="16"/>
      <c r="D20" s="16"/>
      <c r="E20" s="22" t="str">
        <f ca="1">IFERROR(__xludf.dummyfunction("iferror(1000+INT(($N$2-(index(split(D20,"":""),1)*60+index(split(D20,"":""),2 )))/0.2+1)*$N$3,"""")"),"")</f>
        <v/>
      </c>
      <c r="F20" s="16" t="str">
        <f t="shared" ca="1" si="1"/>
        <v/>
      </c>
      <c r="G20" s="16"/>
      <c r="H20" s="22" t="str">
        <f ca="1">IFERROR(__xludf.dummyfunction("iferror(1000+INT(($N$4-(index(split(G20,"":""),1)*60+index(split(G20,"":""),2 )))/0.2+1)*$N$5,"""")"),"")</f>
        <v/>
      </c>
      <c r="I20" s="16" t="str">
        <f t="shared" ca="1" si="2"/>
        <v/>
      </c>
      <c r="J20" s="16"/>
      <c r="K20" s="16"/>
      <c r="L20" s="16"/>
    </row>
    <row r="21" spans="1:12" ht="14.5" x14ac:dyDescent="0.35">
      <c r="A21" s="16"/>
      <c r="B21" s="16"/>
      <c r="C21" s="16"/>
      <c r="D21" s="16"/>
      <c r="E21" s="22" t="str">
        <f ca="1">IFERROR(__xludf.dummyfunction("iferror(1000+INT(($N$2-(index(split(D21,"":""),1)*60+index(split(D21,"":""),2 )))/0.2+1)*$N$3,"""")"),"")</f>
        <v/>
      </c>
      <c r="F21" s="16"/>
      <c r="G21" s="16"/>
      <c r="H21" s="22" t="str">
        <f ca="1">IFERROR(__xludf.dummyfunction("iferror(1000+INT(($N$4-(index(split(G21,"":""),1)*60+index(split(G21,"":""),2 )))/0.2+1)*$N$5,"""")"),"")</f>
        <v/>
      </c>
      <c r="I21" s="16" t="str">
        <f t="shared" ca="1" si="2"/>
        <v/>
      </c>
      <c r="J21" s="16"/>
      <c r="K21" s="16"/>
      <c r="L21" s="16"/>
    </row>
    <row r="22" spans="1:12" ht="14.5" x14ac:dyDescent="0.35">
      <c r="A22" s="16"/>
      <c r="B22" s="16"/>
      <c r="C22" s="16"/>
      <c r="D22" s="16"/>
      <c r="E22" s="22"/>
      <c r="F22" s="16"/>
      <c r="G22" s="16"/>
      <c r="H22" s="22" t="str">
        <f ca="1">IFERROR(__xludf.dummyfunction("iferror(1000+INT(($N$4-(index(split(G22,"":""),1)*60+index(split(G22,"":""),2 )))/0.2+1)*$N$5,"""")"),"")</f>
        <v/>
      </c>
      <c r="I22" s="16"/>
      <c r="J22" s="16"/>
      <c r="K22" s="16"/>
      <c r="L22" s="16"/>
    </row>
    <row r="23" spans="1:12" ht="14.5" x14ac:dyDescent="0.35">
      <c r="A23" s="16"/>
      <c r="B23" s="16"/>
      <c r="C23" s="16"/>
      <c r="D23" s="16"/>
      <c r="E23" s="22"/>
      <c r="F23" s="16"/>
      <c r="G23" s="16"/>
      <c r="H23" s="22"/>
      <c r="I23" s="16"/>
      <c r="J23" s="16"/>
      <c r="K23" s="16"/>
      <c r="L23" s="16"/>
    </row>
    <row r="24" spans="1:12" ht="14.5" x14ac:dyDescent="0.35">
      <c r="A24" s="16"/>
      <c r="B24" s="16"/>
      <c r="C24" s="16"/>
      <c r="D24" s="16"/>
      <c r="E24" s="22"/>
      <c r="F24" s="16"/>
      <c r="G24" s="16"/>
      <c r="H24" s="22"/>
      <c r="I24" s="16"/>
      <c r="J24" s="16"/>
      <c r="K24" s="16"/>
      <c r="L24" s="16"/>
    </row>
    <row r="25" spans="1:12" ht="14.5" x14ac:dyDescent="0.35">
      <c r="A25" s="16"/>
      <c r="B25" s="16"/>
      <c r="C25" s="16"/>
      <c r="D25" s="16"/>
      <c r="E25" s="22"/>
      <c r="F25" s="16"/>
      <c r="G25" s="16"/>
      <c r="H25" s="22"/>
      <c r="I25" s="16"/>
      <c r="J25" s="16"/>
      <c r="K25" s="16"/>
      <c r="L25" s="16"/>
    </row>
    <row r="26" spans="1:12" ht="14.5" x14ac:dyDescent="0.35">
      <c r="A26" s="16"/>
      <c r="B26" s="16"/>
      <c r="C26" s="16"/>
      <c r="D26" s="16"/>
      <c r="E26" s="22"/>
      <c r="F26" s="16"/>
      <c r="G26" s="16"/>
      <c r="H26" s="22"/>
      <c r="I26" s="16"/>
      <c r="J26" s="16"/>
      <c r="K26" s="16"/>
      <c r="L26" s="16"/>
    </row>
    <row r="27" spans="1:12" ht="14.5" x14ac:dyDescent="0.35">
      <c r="A27" s="16"/>
      <c r="B27" s="16"/>
      <c r="C27" s="16"/>
      <c r="D27" s="16"/>
      <c r="E27" s="22"/>
      <c r="F27" s="16"/>
      <c r="G27" s="16"/>
      <c r="H27" s="22"/>
      <c r="I27" s="16"/>
      <c r="J27" s="16"/>
      <c r="K27" s="16"/>
      <c r="L27" s="16"/>
    </row>
    <row r="28" spans="1:12" ht="14.5" x14ac:dyDescent="0.35">
      <c r="A28" s="16"/>
      <c r="B28" s="16"/>
      <c r="C28" s="16"/>
      <c r="D28" s="16"/>
      <c r="E28" s="22"/>
      <c r="F28" s="16"/>
      <c r="G28" s="16"/>
      <c r="H28" s="22"/>
      <c r="I28" s="16"/>
      <c r="J28" s="16"/>
      <c r="K28" s="16"/>
      <c r="L28" s="16"/>
    </row>
    <row r="29" spans="1:12" ht="14.5" x14ac:dyDescent="0.35">
      <c r="A29" s="16"/>
      <c r="B29" s="16"/>
      <c r="C29" s="16"/>
      <c r="D29" s="16"/>
      <c r="E29" s="22"/>
      <c r="F29" s="16"/>
      <c r="G29" s="16"/>
      <c r="H29" s="22"/>
      <c r="I29" s="16"/>
      <c r="J29" s="16"/>
      <c r="K29" s="16"/>
      <c r="L29" s="16"/>
    </row>
    <row r="30" spans="1:12" ht="14.5" x14ac:dyDescent="0.35">
      <c r="A30" s="16"/>
      <c r="B30" s="16"/>
      <c r="C30" s="16"/>
      <c r="D30" s="16"/>
      <c r="E30" s="22"/>
      <c r="F30" s="16"/>
      <c r="G30" s="16"/>
      <c r="H30" s="22"/>
      <c r="I30" s="16"/>
      <c r="J30" s="16"/>
      <c r="K30" s="16"/>
      <c r="L30" s="16"/>
    </row>
    <row r="31" spans="1:12" ht="14.5" x14ac:dyDescent="0.35">
      <c r="A31" s="16"/>
      <c r="B31" s="16"/>
      <c r="C31" s="16"/>
      <c r="D31" s="16"/>
      <c r="E31" s="22"/>
      <c r="F31" s="16"/>
      <c r="G31" s="16"/>
      <c r="H31" s="22"/>
      <c r="I31" s="16"/>
      <c r="J31" s="16"/>
      <c r="K31" s="16"/>
      <c r="L31" s="16"/>
    </row>
    <row r="32" spans="1:12" ht="14.5" x14ac:dyDescent="0.35">
      <c r="A32" s="16"/>
      <c r="B32" s="16"/>
      <c r="C32" s="16"/>
      <c r="D32" s="16"/>
      <c r="E32" s="22"/>
      <c r="F32" s="16"/>
      <c r="G32" s="16"/>
      <c r="H32" s="22"/>
      <c r="I32" s="16"/>
      <c r="J32" s="16"/>
      <c r="K32" s="16"/>
      <c r="L32" s="16"/>
    </row>
    <row r="33" spans="1:12" ht="14.5" x14ac:dyDescent="0.35">
      <c r="A33" s="16"/>
      <c r="B33" s="16"/>
      <c r="C33" s="16"/>
      <c r="D33" s="16"/>
      <c r="E33" s="22"/>
      <c r="F33" s="16"/>
      <c r="G33" s="16"/>
      <c r="H33" s="22"/>
      <c r="I33" s="16"/>
      <c r="J33" s="16"/>
      <c r="K33" s="16"/>
      <c r="L33" s="16"/>
    </row>
    <row r="34" spans="1:12" ht="14.5" x14ac:dyDescent="0.35">
      <c r="A34" s="16"/>
      <c r="B34" s="16"/>
      <c r="C34" s="16"/>
      <c r="D34" s="16"/>
      <c r="E34" s="22"/>
      <c r="F34" s="16"/>
      <c r="G34" s="16"/>
      <c r="H34" s="22"/>
      <c r="I34" s="16"/>
      <c r="J34" s="16"/>
      <c r="K34" s="16"/>
      <c r="L34" s="16"/>
    </row>
    <row r="35" spans="1:12" ht="14.5" x14ac:dyDescent="0.35">
      <c r="A35" s="16"/>
      <c r="B35" s="16"/>
      <c r="C35" s="16"/>
      <c r="D35" s="16"/>
      <c r="E35" s="22"/>
      <c r="F35" s="16"/>
      <c r="G35" s="16"/>
      <c r="H35" s="22"/>
      <c r="I35" s="16"/>
      <c r="J35" s="16"/>
      <c r="K35" s="16"/>
      <c r="L35" s="16"/>
    </row>
    <row r="36" spans="1:12" ht="14.5" x14ac:dyDescent="0.35">
      <c r="A36" s="16"/>
      <c r="B36" s="16"/>
      <c r="C36" s="16"/>
      <c r="D36" s="16"/>
      <c r="E36" s="22"/>
      <c r="F36" s="16"/>
      <c r="G36" s="16"/>
      <c r="H36" s="22"/>
      <c r="I36" s="16"/>
      <c r="J36" s="16"/>
      <c r="K36" s="16"/>
      <c r="L36" s="16"/>
    </row>
    <row r="37" spans="1:12" ht="14.5" x14ac:dyDescent="0.35">
      <c r="A37" s="16"/>
      <c r="B37" s="16"/>
      <c r="C37" s="16"/>
      <c r="D37" s="16"/>
      <c r="E37" s="22"/>
      <c r="F37" s="16"/>
      <c r="G37" s="16"/>
      <c r="H37" s="22"/>
      <c r="I37" s="16"/>
      <c r="J37" s="16"/>
      <c r="K37" s="16"/>
      <c r="L37" s="16"/>
    </row>
    <row r="38" spans="1:12" ht="14.5" x14ac:dyDescent="0.35">
      <c r="A38" s="16"/>
      <c r="B38" s="16"/>
      <c r="C38" s="16"/>
      <c r="D38" s="16"/>
      <c r="E38" s="22"/>
      <c r="F38" s="16"/>
      <c r="G38" s="16"/>
      <c r="H38" s="22"/>
      <c r="I38" s="16"/>
      <c r="J38" s="16"/>
      <c r="K38" s="16"/>
      <c r="L38" s="16"/>
    </row>
    <row r="39" spans="1:12" ht="14.5" x14ac:dyDescent="0.35">
      <c r="A39" s="16"/>
      <c r="B39" s="16"/>
      <c r="C39" s="16"/>
      <c r="D39" s="16"/>
      <c r="E39" s="22"/>
      <c r="F39" s="16"/>
      <c r="G39" s="16"/>
      <c r="H39" s="22"/>
      <c r="I39" s="16"/>
      <c r="J39" s="16"/>
      <c r="K39" s="16"/>
      <c r="L39" s="16"/>
    </row>
    <row r="40" spans="1:12" ht="14.5" x14ac:dyDescent="0.35">
      <c r="A40" s="16"/>
      <c r="B40" s="16"/>
      <c r="C40" s="16"/>
      <c r="D40" s="16"/>
      <c r="E40" s="22"/>
      <c r="F40" s="16"/>
      <c r="G40" s="16"/>
      <c r="H40" s="22"/>
      <c r="I40" s="16"/>
      <c r="J40" s="16"/>
      <c r="K40" s="16"/>
      <c r="L40" s="16"/>
    </row>
    <row r="41" spans="1:12" ht="14.5" x14ac:dyDescent="0.35">
      <c r="A41" s="16"/>
      <c r="B41" s="16"/>
      <c r="C41" s="16"/>
      <c r="D41" s="16"/>
      <c r="E41" s="22"/>
      <c r="F41" s="16"/>
      <c r="G41" s="16"/>
      <c r="H41" s="22"/>
      <c r="I41" s="16"/>
      <c r="J41" s="16"/>
      <c r="K41" s="16"/>
      <c r="L41" s="16"/>
    </row>
    <row r="42" spans="1:12" ht="14.5" x14ac:dyDescent="0.35">
      <c r="A42" s="16"/>
      <c r="B42" s="16"/>
      <c r="C42" s="16"/>
      <c r="D42" s="16"/>
      <c r="E42" s="22"/>
      <c r="F42" s="16"/>
      <c r="G42" s="16"/>
      <c r="H42" s="22"/>
      <c r="I42" s="16"/>
      <c r="J42" s="16"/>
      <c r="K42" s="16"/>
      <c r="L42" s="16"/>
    </row>
    <row r="43" spans="1:12" ht="14.5" x14ac:dyDescent="0.35">
      <c r="A43" s="16"/>
      <c r="B43" s="16"/>
      <c r="C43" s="16"/>
      <c r="D43" s="16"/>
      <c r="E43" s="22"/>
      <c r="F43" s="16"/>
      <c r="G43" s="16"/>
      <c r="H43" s="22"/>
      <c r="I43" s="16"/>
      <c r="J43" s="16"/>
      <c r="K43" s="16"/>
      <c r="L43" s="16"/>
    </row>
    <row r="44" spans="1:12" ht="14.5" x14ac:dyDescent="0.35">
      <c r="A44" s="16"/>
      <c r="B44" s="16"/>
      <c r="C44" s="16"/>
      <c r="D44" s="16"/>
      <c r="E44" s="22"/>
      <c r="F44" s="16"/>
      <c r="G44" s="16"/>
      <c r="H44" s="22"/>
      <c r="I44" s="16"/>
      <c r="J44" s="16"/>
      <c r="K44" s="16"/>
      <c r="L44" s="16"/>
    </row>
    <row r="45" spans="1:12" ht="14.5" x14ac:dyDescent="0.35">
      <c r="A45" s="16"/>
      <c r="B45" s="16"/>
      <c r="C45" s="16"/>
      <c r="D45" s="16"/>
      <c r="E45" s="22"/>
      <c r="F45" s="16"/>
      <c r="G45" s="16"/>
      <c r="H45" s="22"/>
      <c r="I45" s="16"/>
      <c r="J45" s="16"/>
      <c r="K45" s="16"/>
      <c r="L45" s="16"/>
    </row>
    <row r="46" spans="1:12" ht="14.5" x14ac:dyDescent="0.35">
      <c r="A46" s="16"/>
      <c r="B46" s="16"/>
      <c r="C46" s="16"/>
      <c r="D46" s="16"/>
      <c r="E46" s="22"/>
      <c r="F46" s="16"/>
      <c r="G46" s="16"/>
      <c r="H46" s="22"/>
      <c r="I46" s="16"/>
      <c r="J46" s="16"/>
      <c r="K46" s="16"/>
      <c r="L46" s="16"/>
    </row>
    <row r="47" spans="1:12" ht="14.5" x14ac:dyDescent="0.35">
      <c r="A47" s="16"/>
      <c r="B47" s="16"/>
      <c r="C47" s="16"/>
      <c r="D47" s="16"/>
      <c r="E47" s="22"/>
      <c r="F47" s="16"/>
      <c r="G47" s="16"/>
      <c r="H47" s="22"/>
      <c r="I47" s="16"/>
      <c r="J47" s="16"/>
      <c r="K47" s="16"/>
      <c r="L47" s="16"/>
    </row>
    <row r="48" spans="1:12" ht="14.5" x14ac:dyDescent="0.35">
      <c r="A48" s="16"/>
      <c r="B48" s="16"/>
      <c r="C48" s="16"/>
      <c r="D48" s="16"/>
      <c r="E48" s="22"/>
      <c r="F48" s="16"/>
      <c r="G48" s="16"/>
      <c r="H48" s="22"/>
      <c r="I48" s="16"/>
      <c r="J48" s="16"/>
      <c r="K48" s="16"/>
      <c r="L48" s="16"/>
    </row>
    <row r="49" spans="1:12" ht="14.5" x14ac:dyDescent="0.35">
      <c r="A49" s="16"/>
      <c r="B49" s="16"/>
      <c r="C49" s="16"/>
      <c r="D49" s="16"/>
      <c r="E49" s="22"/>
      <c r="F49" s="16"/>
      <c r="G49" s="16"/>
      <c r="H49" s="22"/>
      <c r="I49" s="16"/>
      <c r="J49" s="16"/>
      <c r="K49" s="16"/>
      <c r="L49" s="16"/>
    </row>
    <row r="50" spans="1:12" ht="14.5" x14ac:dyDescent="0.35">
      <c r="A50" s="16"/>
      <c r="B50" s="16"/>
      <c r="C50" s="16"/>
      <c r="D50" s="16"/>
      <c r="E50" s="22"/>
      <c r="F50" s="16"/>
      <c r="G50" s="16"/>
      <c r="H50" s="22"/>
      <c r="I50" s="16"/>
      <c r="J50" s="16"/>
      <c r="K50" s="16"/>
      <c r="L50" s="16"/>
    </row>
    <row r="51" spans="1:12" ht="14.5" x14ac:dyDescent="0.35">
      <c r="A51" s="16"/>
      <c r="B51" s="16"/>
      <c r="C51" s="16"/>
      <c r="D51" s="16"/>
      <c r="E51" s="22"/>
      <c r="F51" s="16"/>
      <c r="G51" s="16"/>
      <c r="H51" s="22"/>
      <c r="I51" s="16"/>
      <c r="J51" s="16"/>
      <c r="K51" s="16"/>
      <c r="L51" s="16"/>
    </row>
    <row r="52" spans="1:12" ht="14.5" x14ac:dyDescent="0.35">
      <c r="A52" s="16"/>
      <c r="B52" s="16"/>
      <c r="C52" s="16"/>
      <c r="D52" s="16"/>
      <c r="E52" s="22"/>
      <c r="F52" s="16"/>
      <c r="G52" s="16"/>
      <c r="H52" s="22"/>
      <c r="I52" s="16"/>
      <c r="J52" s="16"/>
      <c r="K52" s="16"/>
      <c r="L52" s="16"/>
    </row>
    <row r="53" spans="1:12" ht="14.5" x14ac:dyDescent="0.35">
      <c r="A53" s="16"/>
      <c r="B53" s="16"/>
      <c r="C53" s="16"/>
      <c r="D53" s="16"/>
      <c r="E53" s="22"/>
      <c r="F53" s="16"/>
      <c r="G53" s="16"/>
      <c r="H53" s="22"/>
      <c r="I53" s="16"/>
      <c r="J53" s="16"/>
      <c r="K53" s="16"/>
      <c r="L53" s="16"/>
    </row>
    <row r="54" spans="1:12" ht="14.5" x14ac:dyDescent="0.35">
      <c r="A54" s="16"/>
      <c r="B54" s="16"/>
      <c r="C54" s="16"/>
      <c r="D54" s="16"/>
      <c r="E54" s="22"/>
      <c r="F54" s="16"/>
      <c r="G54" s="16"/>
      <c r="H54" s="22"/>
      <c r="I54" s="16"/>
      <c r="J54" s="16"/>
      <c r="K54" s="16"/>
      <c r="L54" s="16"/>
    </row>
    <row r="55" spans="1:12" ht="14.5" x14ac:dyDescent="0.35">
      <c r="A55" s="16"/>
      <c r="B55" s="16"/>
      <c r="C55" s="16"/>
      <c r="D55" s="16"/>
      <c r="E55" s="22"/>
      <c r="F55" s="16"/>
      <c r="G55" s="16"/>
      <c r="H55" s="22"/>
      <c r="I55" s="16"/>
      <c r="J55" s="16"/>
      <c r="K55" s="16"/>
      <c r="L55" s="16"/>
    </row>
    <row r="56" spans="1:12" ht="14.5" x14ac:dyDescent="0.35">
      <c r="A56" s="16"/>
      <c r="B56" s="16"/>
      <c r="C56" s="16"/>
      <c r="D56" s="16"/>
      <c r="E56" s="22"/>
      <c r="F56" s="16"/>
      <c r="G56" s="16"/>
      <c r="H56" s="22"/>
      <c r="I56" s="16"/>
      <c r="J56" s="16"/>
      <c r="K56" s="16"/>
      <c r="L56" s="16"/>
    </row>
    <row r="57" spans="1:12" ht="14.5" x14ac:dyDescent="0.35">
      <c r="A57" s="16"/>
      <c r="B57" s="16"/>
      <c r="C57" s="16"/>
      <c r="D57" s="16"/>
      <c r="E57" s="22"/>
      <c r="F57" s="16"/>
      <c r="G57" s="16"/>
      <c r="H57" s="22"/>
      <c r="I57" s="16"/>
      <c r="J57" s="16"/>
      <c r="K57" s="16"/>
      <c r="L57" s="16"/>
    </row>
    <row r="58" spans="1:12" ht="14.5" x14ac:dyDescent="0.35">
      <c r="A58" s="16"/>
      <c r="B58" s="16"/>
      <c r="C58" s="16"/>
      <c r="D58" s="16"/>
      <c r="E58" s="22"/>
      <c r="F58" s="16"/>
      <c r="G58" s="16"/>
      <c r="H58" s="22"/>
      <c r="I58" s="16"/>
      <c r="J58" s="16"/>
      <c r="K58" s="16"/>
      <c r="L58" s="16"/>
    </row>
    <row r="59" spans="1:12" ht="14.5" x14ac:dyDescent="0.35">
      <c r="A59" s="16"/>
      <c r="B59" s="16"/>
      <c r="C59" s="16"/>
      <c r="D59" s="16"/>
      <c r="E59" s="22"/>
      <c r="F59" s="16"/>
      <c r="G59" s="16"/>
      <c r="H59" s="22"/>
      <c r="I59" s="16"/>
      <c r="J59" s="16"/>
      <c r="K59" s="16"/>
      <c r="L59" s="16"/>
    </row>
    <row r="60" spans="1:12" ht="14.5" x14ac:dyDescent="0.35">
      <c r="A60" s="16"/>
      <c r="B60" s="16"/>
      <c r="C60" s="16"/>
      <c r="D60" s="16"/>
      <c r="E60" s="22"/>
      <c r="F60" s="16"/>
      <c r="G60" s="16"/>
      <c r="H60" s="22"/>
      <c r="I60" s="16"/>
      <c r="J60" s="16"/>
      <c r="K60" s="16"/>
      <c r="L60" s="16"/>
    </row>
    <row r="61" spans="1:12" ht="14.5" x14ac:dyDescent="0.35">
      <c r="A61" s="16"/>
      <c r="B61" s="16"/>
      <c r="C61" s="16"/>
      <c r="D61" s="16"/>
      <c r="E61" s="22"/>
      <c r="F61" s="16"/>
      <c r="G61" s="16"/>
      <c r="H61" s="22"/>
      <c r="I61" s="16"/>
      <c r="J61" s="16"/>
      <c r="K61" s="16"/>
      <c r="L61" s="16"/>
    </row>
    <row r="62" spans="1:12" ht="14.5" x14ac:dyDescent="0.35">
      <c r="A62" s="16"/>
      <c r="B62" s="16"/>
      <c r="C62" s="16"/>
      <c r="D62" s="16"/>
      <c r="E62" s="22"/>
      <c r="F62" s="16"/>
      <c r="G62" s="16"/>
      <c r="H62" s="22"/>
      <c r="I62" s="16"/>
      <c r="J62" s="16"/>
      <c r="K62" s="16"/>
      <c r="L62" s="16"/>
    </row>
    <row r="63" spans="1:12" ht="14.5" x14ac:dyDescent="0.35">
      <c r="A63" s="16"/>
      <c r="B63" s="16"/>
      <c r="C63" s="16"/>
      <c r="D63" s="16"/>
      <c r="E63" s="22"/>
      <c r="F63" s="16"/>
      <c r="G63" s="16"/>
      <c r="H63" s="22"/>
      <c r="I63" s="16"/>
      <c r="J63" s="16"/>
      <c r="K63" s="16"/>
      <c r="L63" s="16"/>
    </row>
    <row r="64" spans="1:12" ht="14.5" x14ac:dyDescent="0.35">
      <c r="A64" s="16"/>
      <c r="B64" s="16"/>
      <c r="C64" s="16"/>
      <c r="D64" s="16"/>
      <c r="E64" s="22"/>
      <c r="F64" s="16"/>
      <c r="G64" s="16"/>
      <c r="H64" s="22"/>
      <c r="I64" s="16"/>
      <c r="J64" s="16"/>
      <c r="K64" s="16"/>
      <c r="L64" s="16"/>
    </row>
    <row r="65" spans="1:12" ht="14.5" x14ac:dyDescent="0.35">
      <c r="A65" s="16"/>
      <c r="B65" s="16"/>
      <c r="C65" s="16"/>
      <c r="D65" s="16"/>
      <c r="E65" s="22"/>
      <c r="F65" s="16"/>
      <c r="G65" s="16"/>
      <c r="H65" s="22"/>
      <c r="I65" s="16"/>
      <c r="J65" s="16"/>
      <c r="K65" s="16"/>
      <c r="L65" s="16"/>
    </row>
    <row r="66" spans="1:12" ht="14.5" x14ac:dyDescent="0.35">
      <c r="A66" s="16"/>
      <c r="B66" s="16"/>
      <c r="C66" s="16"/>
      <c r="D66" s="16"/>
      <c r="E66" s="22"/>
      <c r="F66" s="16"/>
      <c r="G66" s="16"/>
      <c r="H66" s="22"/>
      <c r="I66" s="16"/>
      <c r="J66" s="16"/>
      <c r="K66" s="16"/>
      <c r="L66" s="16"/>
    </row>
    <row r="67" spans="1:12" ht="14.5" x14ac:dyDescent="0.35">
      <c r="A67" s="16"/>
      <c r="B67" s="16"/>
      <c r="C67" s="16"/>
      <c r="D67" s="16"/>
      <c r="E67" s="22"/>
      <c r="F67" s="16"/>
      <c r="G67" s="16"/>
      <c r="H67" s="22"/>
      <c r="I67" s="16"/>
      <c r="J67" s="16"/>
      <c r="K67" s="16"/>
      <c r="L67" s="16"/>
    </row>
    <row r="68" spans="1:12" ht="14.5" x14ac:dyDescent="0.35">
      <c r="A68" s="16"/>
      <c r="B68" s="16"/>
      <c r="C68" s="16"/>
      <c r="D68" s="16"/>
      <c r="E68" s="22"/>
      <c r="F68" s="16"/>
      <c r="G68" s="16"/>
      <c r="H68" s="22"/>
      <c r="I68" s="16"/>
      <c r="J68" s="16"/>
      <c r="K68" s="16"/>
      <c r="L68" s="16"/>
    </row>
    <row r="69" spans="1:12" ht="14.5" x14ac:dyDescent="0.35">
      <c r="A69" s="16"/>
      <c r="B69" s="16"/>
      <c r="C69" s="16"/>
      <c r="D69" s="16"/>
      <c r="E69" s="22"/>
      <c r="F69" s="16"/>
      <c r="G69" s="16"/>
      <c r="H69" s="22"/>
      <c r="I69" s="16"/>
      <c r="J69" s="16"/>
      <c r="K69" s="16"/>
      <c r="L69" s="16"/>
    </row>
    <row r="70" spans="1:12" ht="14.5" x14ac:dyDescent="0.35">
      <c r="A70" s="16"/>
      <c r="B70" s="16"/>
      <c r="C70" s="16"/>
      <c r="D70" s="16"/>
      <c r="E70" s="22"/>
      <c r="F70" s="16"/>
      <c r="G70" s="16"/>
      <c r="H70" s="22"/>
      <c r="I70" s="16"/>
      <c r="J70" s="16"/>
      <c r="K70" s="16"/>
      <c r="L70" s="16"/>
    </row>
    <row r="71" spans="1:12" ht="14.5" x14ac:dyDescent="0.35">
      <c r="A71" s="16"/>
      <c r="B71" s="16"/>
      <c r="C71" s="16"/>
      <c r="D71" s="16"/>
      <c r="E71" s="22"/>
      <c r="F71" s="16"/>
      <c r="G71" s="16"/>
      <c r="H71" s="22"/>
      <c r="I71" s="16"/>
      <c r="J71" s="16"/>
      <c r="K71" s="16"/>
      <c r="L71" s="16"/>
    </row>
    <row r="72" spans="1:12" ht="14.5" x14ac:dyDescent="0.35">
      <c r="A72" s="16"/>
      <c r="B72" s="16"/>
      <c r="C72" s="16"/>
      <c r="D72" s="16"/>
      <c r="E72" s="22"/>
      <c r="F72" s="16"/>
      <c r="G72" s="16"/>
      <c r="H72" s="22"/>
      <c r="I72" s="16"/>
      <c r="J72" s="16"/>
      <c r="K72" s="16"/>
      <c r="L72" s="16"/>
    </row>
    <row r="73" spans="1:12" ht="14.5" x14ac:dyDescent="0.35">
      <c r="A73" s="16"/>
      <c r="B73" s="16"/>
      <c r="C73" s="16"/>
      <c r="D73" s="16"/>
      <c r="E73" s="22"/>
      <c r="F73" s="16"/>
      <c r="G73" s="16"/>
      <c r="H73" s="22"/>
      <c r="I73" s="16"/>
      <c r="J73" s="16"/>
      <c r="K73" s="16"/>
      <c r="L73" s="16"/>
    </row>
    <row r="74" spans="1:12" ht="14.5" x14ac:dyDescent="0.35">
      <c r="A74" s="16"/>
      <c r="B74" s="16"/>
      <c r="C74" s="16"/>
      <c r="D74" s="16"/>
      <c r="E74" s="22"/>
      <c r="F74" s="16"/>
      <c r="G74" s="16"/>
      <c r="H74" s="22"/>
      <c r="I74" s="16"/>
      <c r="J74" s="16"/>
      <c r="K74" s="16"/>
      <c r="L74" s="16"/>
    </row>
    <row r="75" spans="1:12" ht="14.5" x14ac:dyDescent="0.35">
      <c r="A75" s="16"/>
      <c r="B75" s="16"/>
      <c r="C75" s="16"/>
      <c r="D75" s="16"/>
      <c r="E75" s="22"/>
      <c r="F75" s="16"/>
      <c r="G75" s="16"/>
      <c r="H75" s="22"/>
      <c r="I75" s="16"/>
      <c r="J75" s="16"/>
      <c r="K75" s="16"/>
      <c r="L75" s="16"/>
    </row>
    <row r="76" spans="1:12" ht="14.5" x14ac:dyDescent="0.35">
      <c r="A76" s="16"/>
      <c r="B76" s="16"/>
      <c r="C76" s="16"/>
      <c r="D76" s="16"/>
      <c r="E76" s="22"/>
      <c r="F76" s="16"/>
      <c r="G76" s="16"/>
      <c r="H76" s="22"/>
      <c r="I76" s="16"/>
      <c r="J76" s="16"/>
      <c r="K76" s="16"/>
      <c r="L76" s="16"/>
    </row>
    <row r="77" spans="1:12" ht="14.5" x14ac:dyDescent="0.35">
      <c r="A77" s="16"/>
      <c r="B77" s="16"/>
      <c r="C77" s="16"/>
      <c r="D77" s="16"/>
      <c r="E77" s="22"/>
      <c r="F77" s="16"/>
      <c r="G77" s="16"/>
      <c r="H77" s="22"/>
      <c r="I77" s="16"/>
      <c r="J77" s="16"/>
      <c r="K77" s="16"/>
      <c r="L77" s="16"/>
    </row>
    <row r="78" spans="1:12" ht="14.5" x14ac:dyDescent="0.35">
      <c r="A78" s="16"/>
      <c r="B78" s="16"/>
      <c r="C78" s="16"/>
      <c r="D78" s="16"/>
      <c r="E78" s="22"/>
      <c r="F78" s="16"/>
      <c r="G78" s="16"/>
      <c r="H78" s="22"/>
      <c r="I78" s="16"/>
      <c r="J78" s="16"/>
      <c r="K78" s="16"/>
      <c r="L78" s="16"/>
    </row>
    <row r="79" spans="1:12" ht="14.5" x14ac:dyDescent="0.35">
      <c r="A79" s="16"/>
      <c r="B79" s="16"/>
      <c r="C79" s="16"/>
      <c r="D79" s="16"/>
      <c r="E79" s="22"/>
      <c r="F79" s="16"/>
      <c r="G79" s="16"/>
      <c r="H79" s="22"/>
      <c r="I79" s="16"/>
      <c r="J79" s="16"/>
      <c r="K79" s="16"/>
      <c r="L79" s="16"/>
    </row>
    <row r="80" spans="1:12" ht="14.5" x14ac:dyDescent="0.35">
      <c r="A80" s="16"/>
      <c r="B80" s="16"/>
      <c r="C80" s="16"/>
      <c r="D80" s="16"/>
      <c r="E80" s="22"/>
      <c r="F80" s="16"/>
      <c r="G80" s="16"/>
      <c r="H80" s="22"/>
      <c r="I80" s="16"/>
      <c r="J80" s="16"/>
      <c r="K80" s="16"/>
      <c r="L80" s="16"/>
    </row>
    <row r="81" spans="1:12" ht="14.5" x14ac:dyDescent="0.35">
      <c r="A81" s="16"/>
      <c r="B81" s="16"/>
      <c r="C81" s="16"/>
      <c r="D81" s="16"/>
      <c r="E81" s="22"/>
      <c r="F81" s="16"/>
      <c r="G81" s="16"/>
      <c r="H81" s="22"/>
      <c r="I81" s="16"/>
      <c r="J81" s="16"/>
      <c r="K81" s="16"/>
      <c r="L81" s="16"/>
    </row>
    <row r="82" spans="1:12" ht="14.5" x14ac:dyDescent="0.35">
      <c r="A82" s="16"/>
      <c r="B82" s="16"/>
      <c r="C82" s="16"/>
      <c r="D82" s="16"/>
      <c r="E82" s="22"/>
      <c r="F82" s="16"/>
      <c r="G82" s="16"/>
      <c r="H82" s="22"/>
      <c r="I82" s="16"/>
      <c r="J82" s="16"/>
      <c r="K82" s="16"/>
      <c r="L82" s="16"/>
    </row>
    <row r="83" spans="1:12" ht="14.5" x14ac:dyDescent="0.35">
      <c r="A83" s="16"/>
      <c r="B83" s="16"/>
      <c r="C83" s="16"/>
      <c r="D83" s="16"/>
      <c r="E83" s="22"/>
      <c r="F83" s="16"/>
      <c r="G83" s="16"/>
      <c r="H83" s="22"/>
      <c r="I83" s="16"/>
      <c r="J83" s="16"/>
      <c r="K83" s="16"/>
      <c r="L83" s="16"/>
    </row>
    <row r="84" spans="1:12" ht="14.5" x14ac:dyDescent="0.35">
      <c r="A84" s="16"/>
      <c r="B84" s="16"/>
      <c r="C84" s="16"/>
      <c r="D84" s="16"/>
      <c r="E84" s="22"/>
      <c r="F84" s="16"/>
      <c r="G84" s="16"/>
      <c r="H84" s="22"/>
      <c r="I84" s="16"/>
      <c r="J84" s="16"/>
      <c r="K84" s="16"/>
      <c r="L84" s="16"/>
    </row>
    <row r="85" spans="1:12" ht="14.5" x14ac:dyDescent="0.35">
      <c r="A85" s="16"/>
      <c r="B85" s="16"/>
      <c r="C85" s="16"/>
      <c r="D85" s="16"/>
      <c r="E85" s="22"/>
      <c r="F85" s="16"/>
      <c r="G85" s="16"/>
      <c r="H85" s="22"/>
      <c r="I85" s="16"/>
      <c r="J85" s="16"/>
      <c r="K85" s="16"/>
      <c r="L85" s="16"/>
    </row>
    <row r="86" spans="1:12" ht="14.5" x14ac:dyDescent="0.35">
      <c r="A86" s="16"/>
      <c r="B86" s="16"/>
      <c r="C86" s="16"/>
      <c r="D86" s="16"/>
      <c r="E86" s="22"/>
      <c r="F86" s="16"/>
      <c r="G86" s="16"/>
      <c r="H86" s="22"/>
      <c r="I86" s="16"/>
      <c r="J86" s="16"/>
      <c r="K86" s="16"/>
      <c r="L86" s="16"/>
    </row>
    <row r="87" spans="1:12" ht="14.5" x14ac:dyDescent="0.35">
      <c r="A87" s="16"/>
      <c r="B87" s="16"/>
      <c r="C87" s="16"/>
      <c r="D87" s="16"/>
      <c r="E87" s="22" t="str">
        <f ca="1">IFERROR(__xludf.dummyfunction("iferror(1000+INT(($N$2-(index(split(D87,"":""),1)*60+index(split(D87,"":""),2 )))/0.2+1)*$N$3,"""")"),"")</f>
        <v/>
      </c>
      <c r="F87" s="16" t="str">
        <f t="shared" ref="F87:F100" ca="1" si="5">IFERROR(_xlfn.RANK.EQ(E87,E:E),"")</f>
        <v/>
      </c>
      <c r="G87" s="16"/>
      <c r="H87" s="22" t="str">
        <f ca="1">IFERROR(__xludf.dummyfunction("iferror(1000+INT(($N$4-(index(split(G87,"":""),1)*60+index(split(G87,"":""),2 )))/0.2+1)*$N$5,"""")"),"")</f>
        <v/>
      </c>
      <c r="I87" s="16" t="str">
        <f t="shared" ref="I87:I100" ca="1" si="6">IFERROR(_xlfn.RANK.EQ(H87,H:H),"")</f>
        <v/>
      </c>
      <c r="J87" s="16" t="str">
        <f t="shared" ref="J87:J100" si="7">IF(AND(D87="", G87=""), "", E87+H87)</f>
        <v/>
      </c>
      <c r="K87" s="16" t="str">
        <f t="shared" ref="K87:K100" si="8">IFERROR(_xlfn.RANK.EQ(J87,J:J),"")</f>
        <v/>
      </c>
      <c r="L87" s="16"/>
    </row>
    <row r="88" spans="1:12" ht="14.5" x14ac:dyDescent="0.35">
      <c r="A88" s="16"/>
      <c r="B88" s="16"/>
      <c r="C88" s="16"/>
      <c r="D88" s="16"/>
      <c r="E88" s="22" t="str">
        <f ca="1">IFERROR(__xludf.dummyfunction("iferror(1000+INT(($N$2-(index(split(D88,"":""),1)*60+index(split(D88,"":""),2 )))/0.2+1)*$N$3,"""")"),"")</f>
        <v/>
      </c>
      <c r="F88" s="16" t="str">
        <f t="shared" ca="1" si="5"/>
        <v/>
      </c>
      <c r="G88" s="16"/>
      <c r="H88" s="22" t="str">
        <f ca="1">IFERROR(__xludf.dummyfunction("iferror(1000+INT(($N$4-(index(split(G88,"":""),1)*60+index(split(G88,"":""),2 )))/0.2+1)*$N$5,"""")"),"")</f>
        <v/>
      </c>
      <c r="I88" s="16" t="str">
        <f t="shared" ca="1" si="6"/>
        <v/>
      </c>
      <c r="J88" s="16" t="str">
        <f t="shared" si="7"/>
        <v/>
      </c>
      <c r="K88" s="16" t="str">
        <f t="shared" si="8"/>
        <v/>
      </c>
      <c r="L88" s="16"/>
    </row>
    <row r="89" spans="1:12" ht="14.5" x14ac:dyDescent="0.35">
      <c r="A89" s="16"/>
      <c r="B89" s="16"/>
      <c r="C89" s="16"/>
      <c r="D89" s="16"/>
      <c r="E89" s="22" t="str">
        <f ca="1">IFERROR(__xludf.dummyfunction("iferror(1000+INT(($N$2-(index(split(D89,"":""),1)*60+index(split(D89,"":""),2 )))/0.2+1)*$N$3,"""")"),"")</f>
        <v/>
      </c>
      <c r="F89" s="16" t="str">
        <f t="shared" ca="1" si="5"/>
        <v/>
      </c>
      <c r="G89" s="16"/>
      <c r="H89" s="22" t="str">
        <f ca="1">IFERROR(__xludf.dummyfunction("iferror(1000+INT(($N$4-(index(split(G89,"":""),1)*60+index(split(G89,"":""),2 )))/0.2+1)*$N$5,"""")"),"")</f>
        <v/>
      </c>
      <c r="I89" s="16" t="str">
        <f t="shared" ca="1" si="6"/>
        <v/>
      </c>
      <c r="J89" s="16" t="str">
        <f t="shared" si="7"/>
        <v/>
      </c>
      <c r="K89" s="16" t="str">
        <f t="shared" si="8"/>
        <v/>
      </c>
      <c r="L89" s="16"/>
    </row>
    <row r="90" spans="1:12" ht="14.5" x14ac:dyDescent="0.35">
      <c r="A90" s="16"/>
      <c r="B90" s="16"/>
      <c r="C90" s="16"/>
      <c r="D90" s="16"/>
      <c r="E90" s="22" t="str">
        <f ca="1">IFERROR(__xludf.dummyfunction("iferror(1000+INT(($N$2-(index(split(D90,"":""),1)*60+index(split(D90,"":""),2 )))/0.2+1)*$N$3,"""")"),"")</f>
        <v/>
      </c>
      <c r="F90" s="16" t="str">
        <f t="shared" ca="1" si="5"/>
        <v/>
      </c>
      <c r="G90" s="16"/>
      <c r="H90" s="22" t="str">
        <f ca="1">IFERROR(__xludf.dummyfunction("iferror(1000+INT(($N$4-(index(split(G90,"":""),1)*60+index(split(G90,"":""),2 )))/0.2+1)*$N$5,"""")"),"")</f>
        <v/>
      </c>
      <c r="I90" s="16" t="str">
        <f t="shared" ca="1" si="6"/>
        <v/>
      </c>
      <c r="J90" s="16" t="str">
        <f t="shared" si="7"/>
        <v/>
      </c>
      <c r="K90" s="16" t="str">
        <f t="shared" si="8"/>
        <v/>
      </c>
      <c r="L90" s="16"/>
    </row>
    <row r="91" spans="1:12" ht="14.5" x14ac:dyDescent="0.35">
      <c r="A91" s="16"/>
      <c r="B91" s="16"/>
      <c r="C91" s="16"/>
      <c r="D91" s="16"/>
      <c r="E91" s="22" t="str">
        <f ca="1">IFERROR(__xludf.dummyfunction("iferror(1000+INT(($N$2-(index(split(D91,"":""),1)*60+index(split(D91,"":""),2 )))/0.2+1)*$N$3,"""")"),"")</f>
        <v/>
      </c>
      <c r="F91" s="16" t="str">
        <f t="shared" ca="1" si="5"/>
        <v/>
      </c>
      <c r="G91" s="16"/>
      <c r="H91" s="22" t="str">
        <f ca="1">IFERROR(__xludf.dummyfunction("iferror(1000+INT(($N$4-(index(split(G91,"":""),1)*60+index(split(G91,"":""),2 )))/0.2+1)*$N$5,"""")"),"")</f>
        <v/>
      </c>
      <c r="I91" s="16" t="str">
        <f t="shared" ca="1" si="6"/>
        <v/>
      </c>
      <c r="J91" s="16" t="str">
        <f t="shared" si="7"/>
        <v/>
      </c>
      <c r="K91" s="16" t="str">
        <f t="shared" si="8"/>
        <v/>
      </c>
      <c r="L91" s="16"/>
    </row>
    <row r="92" spans="1:12" ht="14.5" x14ac:dyDescent="0.35">
      <c r="A92" s="16"/>
      <c r="B92" s="16"/>
      <c r="C92" s="16"/>
      <c r="D92" s="16"/>
      <c r="E92" s="22" t="str">
        <f ca="1">IFERROR(__xludf.dummyfunction("iferror(1000+INT(($N$2-(index(split(D92,"":""),1)*60+index(split(D92,"":""),2 )))/0.2+1)*$N$3,"""")"),"")</f>
        <v/>
      </c>
      <c r="F92" s="16" t="str">
        <f t="shared" ca="1" si="5"/>
        <v/>
      </c>
      <c r="G92" s="16"/>
      <c r="H92" s="22" t="str">
        <f ca="1">IFERROR(__xludf.dummyfunction("iferror(1000+INT(($N$4-(index(split(G92,"":""),1)*60+index(split(G92,"":""),2 )))/0.2+1)*$N$5,"""")"),"")</f>
        <v/>
      </c>
      <c r="I92" s="16" t="str">
        <f t="shared" ca="1" si="6"/>
        <v/>
      </c>
      <c r="J92" s="16" t="str">
        <f t="shared" si="7"/>
        <v/>
      </c>
      <c r="K92" s="16" t="str">
        <f t="shared" si="8"/>
        <v/>
      </c>
      <c r="L92" s="16"/>
    </row>
    <row r="93" spans="1:12" ht="14.5" x14ac:dyDescent="0.35">
      <c r="A93" s="16"/>
      <c r="B93" s="16"/>
      <c r="C93" s="16"/>
      <c r="D93" s="16"/>
      <c r="E93" s="22" t="str">
        <f ca="1">IFERROR(__xludf.dummyfunction("iferror(1000+INT(($N$2-(index(split(D93,"":""),1)*60+index(split(D93,"":""),2 )))/0.2+1)*$N$3,"""")"),"")</f>
        <v/>
      </c>
      <c r="F93" s="16" t="str">
        <f t="shared" ca="1" si="5"/>
        <v/>
      </c>
      <c r="G93" s="16"/>
      <c r="H93" s="22" t="str">
        <f ca="1">IFERROR(__xludf.dummyfunction("iferror(1000+INT(($N$4-(index(split(G93,"":""),1)*60+index(split(G93,"":""),2 )))/0.2+1)*$N$5,"""")"),"")</f>
        <v/>
      </c>
      <c r="I93" s="16" t="str">
        <f t="shared" ca="1" si="6"/>
        <v/>
      </c>
      <c r="J93" s="16" t="str">
        <f t="shared" si="7"/>
        <v/>
      </c>
      <c r="K93" s="16" t="str">
        <f t="shared" si="8"/>
        <v/>
      </c>
      <c r="L93" s="16"/>
    </row>
    <row r="94" spans="1:12" ht="14.5" x14ac:dyDescent="0.35">
      <c r="A94" s="16"/>
      <c r="B94" s="16"/>
      <c r="C94" s="16"/>
      <c r="D94" s="16"/>
      <c r="E94" s="22" t="str">
        <f ca="1">IFERROR(__xludf.dummyfunction("iferror(1000+INT(($N$2-(index(split(D94,"":""),1)*60+index(split(D94,"":""),2 )))/0.2+1)*$N$3,"""")"),"")</f>
        <v/>
      </c>
      <c r="F94" s="16" t="str">
        <f t="shared" ca="1" si="5"/>
        <v/>
      </c>
      <c r="G94" s="16"/>
      <c r="H94" s="22" t="str">
        <f ca="1">IFERROR(__xludf.dummyfunction("iferror(1000+INT(($N$4-(index(split(G94,"":""),1)*60+index(split(G94,"":""),2 )))/0.2+1)*$N$5,"""")"),"")</f>
        <v/>
      </c>
      <c r="I94" s="16" t="str">
        <f t="shared" ca="1" si="6"/>
        <v/>
      </c>
      <c r="J94" s="16" t="str">
        <f t="shared" si="7"/>
        <v/>
      </c>
      <c r="K94" s="16" t="str">
        <f t="shared" si="8"/>
        <v/>
      </c>
      <c r="L94" s="16"/>
    </row>
    <row r="95" spans="1:12" ht="14.5" x14ac:dyDescent="0.35">
      <c r="A95" s="16"/>
      <c r="B95" s="16"/>
      <c r="C95" s="16"/>
      <c r="D95" s="16"/>
      <c r="E95" s="22" t="str">
        <f ca="1">IFERROR(__xludf.dummyfunction("iferror(1000+INT(($N$2-(index(split(D95,"":""),1)*60+index(split(D95,"":""),2 )))/0.2+1)*$N$3,"""")"),"")</f>
        <v/>
      </c>
      <c r="F95" s="16" t="str">
        <f t="shared" ca="1" si="5"/>
        <v/>
      </c>
      <c r="G95" s="16"/>
      <c r="H95" s="22" t="str">
        <f ca="1">IFERROR(__xludf.dummyfunction("iferror(1000+INT(($N$4-(index(split(G95,"":""),1)*60+index(split(G95,"":""),2 )))/0.2+1)*$N$5,"""")"),"")</f>
        <v/>
      </c>
      <c r="I95" s="16" t="str">
        <f t="shared" ca="1" si="6"/>
        <v/>
      </c>
      <c r="J95" s="16" t="str">
        <f t="shared" si="7"/>
        <v/>
      </c>
      <c r="K95" s="16" t="str">
        <f t="shared" si="8"/>
        <v/>
      </c>
      <c r="L95" s="16"/>
    </row>
    <row r="96" spans="1:12" ht="14.5" x14ac:dyDescent="0.35">
      <c r="A96" s="16"/>
      <c r="B96" s="16"/>
      <c r="C96" s="16"/>
      <c r="D96" s="16"/>
      <c r="E96" s="22" t="str">
        <f ca="1">IFERROR(__xludf.dummyfunction("iferror(1000+INT(($N$2-(index(split(D96,"":""),1)*60+index(split(D96,"":""),2 )))/0.2+1)*$N$3,"""")"),"")</f>
        <v/>
      </c>
      <c r="F96" s="16" t="str">
        <f t="shared" ca="1" si="5"/>
        <v/>
      </c>
      <c r="G96" s="16"/>
      <c r="H96" s="22" t="str">
        <f ca="1">IFERROR(__xludf.dummyfunction("iferror(1000+INT(($N$4-(index(split(G96,"":""),1)*60+index(split(G96,"":""),2 )))/0.2+1)*$N$5,"""")"),"")</f>
        <v/>
      </c>
      <c r="I96" s="16" t="str">
        <f t="shared" ca="1" si="6"/>
        <v/>
      </c>
      <c r="J96" s="16" t="str">
        <f t="shared" si="7"/>
        <v/>
      </c>
      <c r="K96" s="16" t="str">
        <f t="shared" si="8"/>
        <v/>
      </c>
      <c r="L96" s="16"/>
    </row>
    <row r="97" spans="1:12" ht="14.5" x14ac:dyDescent="0.35">
      <c r="A97" s="16"/>
      <c r="B97" s="16"/>
      <c r="C97" s="16"/>
      <c r="D97" s="16"/>
      <c r="E97" s="22" t="str">
        <f ca="1">IFERROR(__xludf.dummyfunction("iferror(1000+INT(($N$2-(index(split(D97,"":""),1)*60+index(split(D97,"":""),2 )))/0.2+1)*$N$3,"""")"),"")</f>
        <v/>
      </c>
      <c r="F97" s="16" t="str">
        <f t="shared" ca="1" si="5"/>
        <v/>
      </c>
      <c r="G97" s="16"/>
      <c r="H97" s="22" t="str">
        <f ca="1">IFERROR(__xludf.dummyfunction("iferror(1000+INT(($N$4-(index(split(G97,"":""),1)*60+index(split(G97,"":""),2 )))/0.2+1)*$N$5,"""")"),"")</f>
        <v/>
      </c>
      <c r="I97" s="16" t="str">
        <f t="shared" ca="1" si="6"/>
        <v/>
      </c>
      <c r="J97" s="16" t="str">
        <f t="shared" si="7"/>
        <v/>
      </c>
      <c r="K97" s="16" t="str">
        <f t="shared" si="8"/>
        <v/>
      </c>
      <c r="L97" s="16"/>
    </row>
    <row r="98" spans="1:12" ht="14.5" x14ac:dyDescent="0.35">
      <c r="A98" s="16"/>
      <c r="B98" s="16"/>
      <c r="C98" s="16"/>
      <c r="D98" s="16"/>
      <c r="E98" s="22" t="str">
        <f ca="1">IFERROR(__xludf.dummyfunction("iferror(1000+INT(($N$2-(index(split(D98,"":""),1)*60+index(split(D98,"":""),2 )))/0.2+1)*$N$3,"""")"),"")</f>
        <v/>
      </c>
      <c r="F98" s="16" t="str">
        <f t="shared" ca="1" si="5"/>
        <v/>
      </c>
      <c r="G98" s="16"/>
      <c r="H98" s="22" t="str">
        <f ca="1">IFERROR(__xludf.dummyfunction("iferror(1000+INT(($N$4-(index(split(G98,"":""),1)*60+index(split(G98,"":""),2 )))/0.2+1)*$N$5,"""")"),"")</f>
        <v/>
      </c>
      <c r="I98" s="16" t="str">
        <f t="shared" ca="1" si="6"/>
        <v/>
      </c>
      <c r="J98" s="16" t="str">
        <f t="shared" si="7"/>
        <v/>
      </c>
      <c r="K98" s="16" t="str">
        <f t="shared" si="8"/>
        <v/>
      </c>
      <c r="L98" s="16"/>
    </row>
    <row r="99" spans="1:12" ht="14.5" x14ac:dyDescent="0.35">
      <c r="A99" s="16"/>
      <c r="B99" s="16"/>
      <c r="C99" s="16"/>
      <c r="D99" s="16"/>
      <c r="E99" s="22" t="str">
        <f ca="1">IFERROR(__xludf.dummyfunction("iferror(1000+INT(($N$2-(index(split(D99,"":""),1)*60+index(split(D99,"":""),2 )))/0.2+1)*$N$3,"""")"),"")</f>
        <v/>
      </c>
      <c r="F99" s="16" t="str">
        <f t="shared" ca="1" si="5"/>
        <v/>
      </c>
      <c r="G99" s="16"/>
      <c r="H99" s="22" t="str">
        <f ca="1">IFERROR(__xludf.dummyfunction("iferror(1000+INT(($N$4-(index(split(G99,"":""),1)*60+index(split(G99,"":""),2 )))/0.2+1)*$N$5,"""")"),"")</f>
        <v/>
      </c>
      <c r="I99" s="16" t="str">
        <f t="shared" ca="1" si="6"/>
        <v/>
      </c>
      <c r="J99" s="16" t="str">
        <f t="shared" si="7"/>
        <v/>
      </c>
      <c r="K99" s="16" t="str">
        <f t="shared" si="8"/>
        <v/>
      </c>
      <c r="L99" s="16"/>
    </row>
    <row r="100" spans="1:12" ht="14.5" x14ac:dyDescent="0.35">
      <c r="A100" s="16"/>
      <c r="B100" s="16"/>
      <c r="C100" s="16"/>
      <c r="D100" s="16"/>
      <c r="E100" s="22" t="str">
        <f ca="1">IFERROR(__xludf.dummyfunction("iferror(1000+INT(($N$2-(index(split(D100,"":""),1)*60+index(split(D100,"":""),2 )))/0.2+1)*$N$3,"""")"),"")</f>
        <v/>
      </c>
      <c r="F100" s="16" t="str">
        <f t="shared" ca="1" si="5"/>
        <v/>
      </c>
      <c r="G100" s="16"/>
      <c r="H100" s="22" t="str">
        <f ca="1">IFERROR(__xludf.dummyfunction("iferror(1000+INT(($N$4-(index(split(G100,"":""),1)*60+index(split(G100,"":""),2 )))/0.2+1)*$N$5,"""")"),"")</f>
        <v/>
      </c>
      <c r="I100" s="16" t="str">
        <f t="shared" ca="1" si="6"/>
        <v/>
      </c>
      <c r="J100" s="16" t="str">
        <f t="shared" si="7"/>
        <v/>
      </c>
      <c r="K100" s="16" t="str">
        <f t="shared" si="8"/>
        <v/>
      </c>
      <c r="L100" s="16"/>
    </row>
    <row r="101" spans="1:12" ht="14.5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4.5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4.5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4.5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4.5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4.5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4.5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4.5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4.5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4.5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4.5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4.5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4.5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4.5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4.5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4.5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4.5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4.5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4.5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4.5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4.5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4.5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4.5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4.5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4.5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4.5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4.5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4.5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4.5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4.5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4.5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4.5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4.5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4.5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4.5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4.5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4.5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4.5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4.5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4.5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4.5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4.5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4.5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4.5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4.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4.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4.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4.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4.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4.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4.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4.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4.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4.5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4.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4.5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4.5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4.5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4.5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4.5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4.5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4.5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ht="14.5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4.5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ht="14.5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ht="14.5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4.5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4.5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5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4.5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4.5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4.5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4.5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4.5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4.5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4.5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4.5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4.5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4.5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4.5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4.5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4.5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4.5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4.5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4.5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4.5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4.5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4.5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4.5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4.5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4.5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4.5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4.5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4.5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4.5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4.5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4.5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4.5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4.5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4.5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4.5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4.5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4.5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4.5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4.5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4.5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4.5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4.5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4.5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4.5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4.5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4.5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4.5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4.5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4.5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4.5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4.5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4.5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4.5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4.5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4.5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4.5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4.5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4.5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4.5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4.5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4.5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4.5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4.5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4.5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4.5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4.5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4.5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5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4.5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4.5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4.5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4.5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4.5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4.5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4.5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4.5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4.5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4.5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4.5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4.5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4.5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4.5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4.5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4.5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4.5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4.5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4.5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4.5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4.5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4.5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4.5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4.5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4.5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4.5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4.5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4.5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4.5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4.5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4.5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4.5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4.5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4.5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4.5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4.5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4.5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4.5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4.5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4.5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4.5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4.5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4.5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4.5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4.5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4.5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4.5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4.5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4.5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4.5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4.5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4.5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4.5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4.5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4.5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4.5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4.5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4.5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4.5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4.5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4.5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4.5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4.5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4.5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4.5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4.5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4.5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4.5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4.5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4.5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4.5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4.5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4.5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4.5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4.5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4.5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4.5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4.5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4.5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4.5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4.5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4.5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4.5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4.5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4.5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4.5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4.5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4.5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4.5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4.5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4.5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4.5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4.5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4.5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4.5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4.5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4.5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4.5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4.5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4.5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4.5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4.5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4.5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4.5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4.5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4.5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4.5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4.5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4.5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4.5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4.5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4.5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4.5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4.5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4.5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4.5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4.5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4.5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4.5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4.5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4.5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4.5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4.5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4.5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4.5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4.5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4.5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4.5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4.5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4.5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4.5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4.5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4.5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4.5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4.5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4.5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4.5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4.5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4.5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4.5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4.5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4.5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4.5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4.5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4.5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ht="14.5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ht="14.5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ht="14.5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ht="14.5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ht="14.5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ht="14.5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ht="14.5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ht="14.5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ht="14.5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ht="14.5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ht="14.5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ht="14.5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ht="14.5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ht="14.5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ht="14.5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ht="14.5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ht="14.5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ht="14.5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ht="14.5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ht="14.5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ht="14.5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ht="14.5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ht="14.5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ht="14.5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ht="14.5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ht="14.5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ht="14.5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ht="14.5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ht="14.5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ht="14.5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ht="14.5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ht="14.5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ht="14.5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ht="14.5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ht="14.5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ht="14.5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ht="14.5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ht="14.5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ht="14.5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ht="14.5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ht="14.5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ht="14.5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ht="14.5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ht="14.5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ht="14.5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ht="14.5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ht="14.5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ht="14.5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ht="14.5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ht="14.5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ht="14.5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ht="14.5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ht="14.5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ht="14.5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ht="14.5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ht="14.5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ht="14.5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ht="14.5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 ht="14.5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 ht="14.5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 ht="14.5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 ht="14.5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 ht="14.5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 ht="14.5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 ht="14.5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 ht="14.5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 ht="14.5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 ht="14.5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 ht="14.5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 ht="14.5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 ht="14.5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 ht="14.5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 ht="14.5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 ht="14.5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 ht="14.5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 ht="14.5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 ht="14.5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 ht="14.5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 ht="14.5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 ht="14.5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 ht="14.5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 ht="14.5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 ht="14.5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 ht="14.5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 ht="14.5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 ht="14.5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 ht="14.5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 ht="14.5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 ht="14.5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 ht="14.5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 ht="14.5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 ht="14.5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 ht="14.5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 ht="14.5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 ht="14.5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 ht="14.5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 ht="14.5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 ht="14.5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 ht="14.5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 ht="14.5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 ht="14.5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 ht="14.5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 ht="14.5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 ht="14.5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 ht="14.5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 ht="14.5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 ht="14.5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 ht="14.5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 ht="14.5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 ht="14.5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 ht="14.5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 ht="14.5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 ht="14.5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 ht="14.5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 ht="14.5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 ht="14.5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 ht="14.5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 ht="14.5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 ht="14.5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 ht="14.5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 ht="14.5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 ht="14.5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 ht="14.5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 ht="14.5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 ht="14.5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 ht="14.5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 ht="14.5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 ht="14.5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 ht="14.5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 ht="14.5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 ht="14.5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 ht="14.5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 ht="14.5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 ht="14.5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 ht="14.5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 ht="14.5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 ht="14.5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 ht="14.5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 ht="14.5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 ht="14.5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 ht="14.5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ht="14.5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ht="14.5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ht="14.5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ht="14.5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ht="14.5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ht="14.5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ht="14.5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ht="14.5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 ht="14.5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 ht="14.5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 ht="14.5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 ht="14.5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 ht="14.5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 ht="14.5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 ht="14.5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 ht="14.5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 ht="14.5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 ht="14.5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 ht="14.5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 ht="14.5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 ht="14.5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 ht="14.5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 ht="14.5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 ht="14.5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 ht="14.5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 ht="14.5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 ht="14.5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 ht="14.5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 ht="14.5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 ht="14.5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 ht="14.5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 ht="14.5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 ht="14.5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 ht="14.5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 ht="14.5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 ht="14.5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 ht="14.5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 ht="14.5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 ht="14.5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 ht="14.5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 ht="14.5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 ht="14.5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 ht="14.5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 ht="14.5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 ht="14.5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 ht="14.5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 ht="14.5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 ht="14.5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 ht="14.5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 ht="14.5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 ht="14.5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 ht="14.5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 ht="14.5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 ht="14.5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 ht="14.5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 ht="14.5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 ht="14.5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 ht="14.5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 ht="14.5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 ht="14.5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 ht="14.5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 ht="14.5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 ht="14.5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 ht="14.5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 ht="14.5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 ht="14.5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 ht="14.5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 ht="14.5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 ht="14.5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 ht="14.5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 ht="14.5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 ht="14.5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 ht="14.5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 ht="14.5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 ht="14.5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 ht="14.5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 ht="14.5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 ht="14.5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 ht="14.5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 ht="14.5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 ht="14.5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 ht="14.5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 ht="14.5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 ht="14.5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 ht="14.5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 ht="14.5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 ht="14.5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 ht="14.5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 ht="14.5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 ht="14.5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 ht="14.5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 ht="14.5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 ht="14.5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 ht="14.5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 ht="14.5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 ht="14.5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 ht="14.5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 ht="14.5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 ht="14.5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 ht="14.5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 ht="14.5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 ht="14.5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 ht="14.5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 ht="14.5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 ht="14.5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 ht="14.5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 ht="14.5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 ht="14.5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 ht="14.5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 ht="14.5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 ht="14.5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 ht="14.5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 ht="14.5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 ht="14.5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 ht="14.5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 ht="14.5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 ht="14.5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 ht="14.5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 ht="14.5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 ht="14.5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 ht="14.5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 ht="14.5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 ht="14.5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 ht="14.5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 ht="14.5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 ht="14.5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 ht="14.5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 ht="14.5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 ht="14.5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 ht="14.5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 ht="14.5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 ht="14.5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 ht="14.5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 ht="14.5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 ht="14.5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 ht="14.5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 ht="14.5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 ht="14.5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 ht="14.5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 ht="14.5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 ht="14.5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 ht="14.5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 ht="14.5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 ht="14.5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 ht="14.5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 ht="14.5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 ht="14.5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 ht="14.5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 ht="14.5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 ht="14.5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 ht="14.5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 ht="14.5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 ht="14.5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 ht="14.5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 ht="14.5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 ht="14.5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 ht="14.5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 ht="14.5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 ht="14.5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 ht="14.5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 ht="14.5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 ht="14.5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 ht="14.5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 ht="14.5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 ht="14.5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 ht="14.5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 ht="14.5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 ht="14.5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 ht="14.5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 ht="14.5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 ht="14.5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 ht="14.5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 ht="14.5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 ht="14.5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 ht="14.5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 ht="14.5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 ht="14.5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 ht="14.5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 ht="14.5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 ht="14.5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 ht="14.5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 ht="14.5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 ht="14.5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 ht="14.5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 ht="14.5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 ht="14.5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 ht="14.5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 ht="14.5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 ht="14.5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 ht="14.5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 ht="14.5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 ht="14.5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 ht="14.5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 ht="14.5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 ht="14.5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 ht="14.5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 ht="14.5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 ht="14.5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 ht="14.5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 ht="14.5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 ht="14.5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 ht="14.5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 ht="14.5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 ht="14.5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 ht="14.5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 ht="14.5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 ht="14.5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 ht="14.5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 ht="14.5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 ht="14.5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 ht="14.5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 ht="14.5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 ht="14.5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 ht="14.5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 ht="14.5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 ht="14.5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 ht="14.5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 ht="14.5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 ht="14.5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 ht="14.5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 ht="14.5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 ht="14.5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 ht="14.5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 ht="14.5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 ht="14.5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 ht="14.5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 ht="14.5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 ht="14.5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 ht="14.5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 ht="14.5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 ht="14.5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 ht="14.5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 ht="14.5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 ht="14.5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 ht="14.5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 ht="14.5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 ht="14.5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 ht="14.5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 ht="14.5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 ht="14.5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 ht="14.5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 ht="14.5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 ht="14.5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 ht="14.5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 ht="14.5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 ht="14.5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 ht="14.5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 ht="14.5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 ht="14.5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 ht="14.5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 ht="14.5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 ht="14.5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 ht="14.5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 ht="14.5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 ht="14.5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 ht="14.5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 ht="14.5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 ht="14.5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 ht="14.5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 ht="14.5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 ht="14.5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 ht="14.5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 ht="14.5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 ht="14.5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 ht="14.5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 ht="14.5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 ht="14.5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 ht="14.5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 ht="14.5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 ht="14.5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 ht="14.5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 ht="14.5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 ht="14.5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 ht="14.5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 ht="14.5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 ht="14.5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 ht="14.5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 ht="14.5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 ht="14.5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 ht="14.5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 ht="14.5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 ht="14.5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 ht="14.5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 ht="14.5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 ht="14.5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 ht="14.5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 ht="14.5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 ht="14.5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 ht="14.5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 ht="14.5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 ht="14.5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 ht="14.5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 ht="14.5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 ht="14.5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 ht="14.5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 ht="14.5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 ht="14.5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 ht="14.5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 ht="14.5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 ht="14.5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 ht="14.5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 ht="14.5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 ht="14.5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 ht="14.5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 ht="14.5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 ht="14.5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 ht="14.5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 ht="14.5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 ht="14.5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 ht="14.5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 ht="14.5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 ht="14.5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 ht="14.5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 ht="14.5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 ht="14.5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 ht="14.5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 ht="14.5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 ht="14.5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 ht="14.5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 ht="14.5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 ht="14.5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 ht="14.5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 ht="14.5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 ht="14.5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 ht="14.5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 ht="14.5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 ht="14.5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 ht="14.5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 ht="14.5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 ht="14.5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 ht="14.5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 ht="14.5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 ht="14.5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 ht="14.5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 ht="14.5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 ht="14.5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 ht="14.5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 ht="14.5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 ht="14.5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 ht="14.5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 ht="14.5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 ht="14.5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 ht="14.5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 ht="14.5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 ht="14.5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 ht="14.5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 ht="14.5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 ht="14.5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 ht="14.5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 ht="14.5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 ht="14.5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 ht="14.5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 ht="14.5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 ht="14.5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 ht="14.5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 ht="14.5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 ht="14.5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 ht="14.5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 ht="14.5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 ht="14.5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 ht="14.5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 ht="14.5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 ht="14.5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 ht="14.5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 ht="14.5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 ht="14.5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 ht="14.5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 ht="14.5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 ht="14.5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 ht="14.5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 ht="14.5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 ht="14.5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 ht="14.5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 ht="14.5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 ht="14.5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 ht="14.5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 ht="14.5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 ht="14.5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 ht="14.5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 ht="14.5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 ht="14.5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 ht="14.5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 ht="14.5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 ht="14.5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 ht="14.5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 ht="14.5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 ht="14.5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 ht="14.5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 ht="14.5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 ht="14.5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 ht="14.5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 ht="14.5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 ht="14.5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 ht="14.5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 ht="14.5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 ht="14.5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 ht="14.5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 ht="14.5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 ht="14.5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 ht="14.5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 ht="14.5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 ht="14.5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 ht="14.5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 ht="14.5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 ht="14.5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</sheetData>
  <sortState xmlns:xlrd2="http://schemas.microsoft.com/office/spreadsheetml/2017/richdata2" ref="A2:L10">
    <sortCondition ref="K2:K10"/>
  </sortState>
  <printOptions horizontalCentered="1" gridLines="1"/>
  <pageMargins left="0.7" right="0.7" top="1.1437499999999998" bottom="1.1437499999999998" header="0.75" footer="0.75"/>
  <pageSetup paperSize="0" fitToWidth="0" fitToHeight="0" pageOrder="overThenDown" orientation="landscape" horizontalDpi="0" verticalDpi="0" copies="0"/>
  <headerFooter alignWithMargins="0"/>
  <ignoredErrors>
    <ignoredError sqref="J2:J14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'Scoring tables'!$A$2:$A$57</xm:f>
          </x14:formula1>
          <xm:sqref>L1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workbookViewId="0"/>
  </sheetViews>
  <sheetFormatPr defaultRowHeight="15.75" customHeight="1" x14ac:dyDescent="0.3"/>
  <cols>
    <col min="1" max="1024" width="11.6640625" customWidth="1"/>
  </cols>
  <sheetData>
    <row r="1" spans="1:14" ht="15.5" x14ac:dyDescent="0.35">
      <c r="A1" s="14" t="s">
        <v>1</v>
      </c>
      <c r="B1" s="14" t="s">
        <v>343</v>
      </c>
      <c r="C1" s="14" t="s">
        <v>344</v>
      </c>
      <c r="D1" s="14" t="s">
        <v>345</v>
      </c>
      <c r="E1" s="14" t="s">
        <v>346</v>
      </c>
      <c r="F1" s="14" t="s">
        <v>347</v>
      </c>
      <c r="G1" s="14" t="s">
        <v>348</v>
      </c>
      <c r="H1" s="14" t="s">
        <v>349</v>
      </c>
      <c r="I1" s="14" t="s">
        <v>350</v>
      </c>
      <c r="J1" s="14" t="s">
        <v>351</v>
      </c>
      <c r="K1" s="14" t="s">
        <v>352</v>
      </c>
      <c r="L1" s="4"/>
      <c r="M1" s="1"/>
      <c r="N1" s="15"/>
    </row>
    <row r="2" spans="1:14" ht="15.5" x14ac:dyDescent="0.35">
      <c r="A2" s="4" t="s">
        <v>4</v>
      </c>
      <c r="B2" s="4">
        <v>400</v>
      </c>
      <c r="C2" s="4">
        <v>1</v>
      </c>
      <c r="D2" s="4">
        <v>35</v>
      </c>
      <c r="E2" s="4">
        <v>95</v>
      </c>
      <c r="F2" s="4">
        <v>6</v>
      </c>
      <c r="G2" s="4">
        <v>25</v>
      </c>
      <c r="H2" s="4">
        <v>0</v>
      </c>
      <c r="I2" s="4">
        <v>23</v>
      </c>
      <c r="J2" s="4">
        <v>23</v>
      </c>
      <c r="K2" s="4">
        <v>6</v>
      </c>
      <c r="L2" s="4"/>
      <c r="M2" s="1"/>
      <c r="N2" s="15" t="s">
        <v>353</v>
      </c>
    </row>
    <row r="3" spans="1:14" ht="15.5" x14ac:dyDescent="0.35">
      <c r="A3" s="4" t="s">
        <v>7</v>
      </c>
      <c r="B3" s="4">
        <v>400</v>
      </c>
      <c r="C3" s="4">
        <v>1</v>
      </c>
      <c r="D3" s="4">
        <v>25</v>
      </c>
      <c r="E3" s="4">
        <v>85</v>
      </c>
      <c r="F3" s="4">
        <v>6</v>
      </c>
      <c r="G3" s="4">
        <v>25</v>
      </c>
      <c r="H3" s="4">
        <v>0</v>
      </c>
      <c r="I3" s="4">
        <v>21</v>
      </c>
      <c r="J3" s="4">
        <v>21</v>
      </c>
      <c r="K3" s="4">
        <v>6</v>
      </c>
      <c r="L3" s="4"/>
      <c r="M3" s="1"/>
      <c r="N3" s="15"/>
    </row>
    <row r="4" spans="1:14" ht="15.5" x14ac:dyDescent="0.35">
      <c r="A4" s="4" t="s">
        <v>9</v>
      </c>
      <c r="B4" s="4">
        <v>800</v>
      </c>
      <c r="C4" s="4">
        <v>3</v>
      </c>
      <c r="D4" s="4">
        <v>0</v>
      </c>
      <c r="E4" s="4">
        <v>180</v>
      </c>
      <c r="F4" s="4">
        <v>3</v>
      </c>
      <c r="G4" s="4">
        <v>50</v>
      </c>
      <c r="H4" s="4">
        <v>0</v>
      </c>
      <c r="I4" s="4">
        <v>42</v>
      </c>
      <c r="J4" s="4">
        <v>42</v>
      </c>
      <c r="K4" s="4">
        <v>6</v>
      </c>
      <c r="L4" s="4"/>
      <c r="M4" s="1"/>
      <c r="N4" s="15"/>
    </row>
    <row r="5" spans="1:14" ht="15.5" x14ac:dyDescent="0.35">
      <c r="A5" s="4" t="s">
        <v>11</v>
      </c>
      <c r="B5" s="4">
        <v>800</v>
      </c>
      <c r="C5" s="4">
        <v>2</v>
      </c>
      <c r="D5" s="4">
        <v>55</v>
      </c>
      <c r="E5" s="4">
        <v>175</v>
      </c>
      <c r="F5" s="4">
        <v>3</v>
      </c>
      <c r="G5" s="4">
        <v>50</v>
      </c>
      <c r="H5" s="4">
        <v>0</v>
      </c>
      <c r="I5" s="4">
        <v>40</v>
      </c>
      <c r="J5" s="4">
        <v>40</v>
      </c>
      <c r="K5" s="4">
        <v>6</v>
      </c>
      <c r="L5" s="4"/>
      <c r="M5" s="1"/>
      <c r="N5" s="15"/>
    </row>
    <row r="6" spans="1:14" ht="15.5" x14ac:dyDescent="0.35">
      <c r="A6" s="4" t="s">
        <v>13</v>
      </c>
      <c r="B6" s="4">
        <v>800</v>
      </c>
      <c r="C6" s="4">
        <v>2</v>
      </c>
      <c r="D6" s="4">
        <v>45</v>
      </c>
      <c r="E6" s="4">
        <v>165</v>
      </c>
      <c r="F6" s="4">
        <v>3</v>
      </c>
      <c r="G6" s="4">
        <v>50</v>
      </c>
      <c r="H6" s="4">
        <v>0</v>
      </c>
      <c r="I6" s="4">
        <v>38</v>
      </c>
      <c r="J6" s="4">
        <v>38</v>
      </c>
      <c r="K6" s="4">
        <v>6</v>
      </c>
      <c r="L6" s="4"/>
      <c r="M6" s="1"/>
      <c r="N6" s="15"/>
    </row>
    <row r="7" spans="1:14" ht="15.5" x14ac:dyDescent="0.35">
      <c r="A7" s="4" t="s">
        <v>15</v>
      </c>
      <c r="B7" s="4">
        <v>1600</v>
      </c>
      <c r="C7" s="4">
        <v>6</v>
      </c>
      <c r="D7" s="4">
        <v>10</v>
      </c>
      <c r="E7" s="4">
        <v>370</v>
      </c>
      <c r="F7" s="4">
        <v>1</v>
      </c>
      <c r="G7" s="4">
        <v>100</v>
      </c>
      <c r="H7" s="4">
        <v>1</v>
      </c>
      <c r="I7" s="4">
        <v>14</v>
      </c>
      <c r="J7" s="4">
        <v>74</v>
      </c>
      <c r="K7" s="4">
        <v>4</v>
      </c>
      <c r="L7" s="4"/>
      <c r="M7" s="1"/>
      <c r="N7" s="15"/>
    </row>
    <row r="8" spans="1:14" ht="15.5" x14ac:dyDescent="0.35">
      <c r="A8" s="4" t="s">
        <v>17</v>
      </c>
      <c r="B8" s="4">
        <v>1600</v>
      </c>
      <c r="C8" s="4">
        <v>5</v>
      </c>
      <c r="D8" s="4">
        <v>50</v>
      </c>
      <c r="E8" s="4">
        <v>350</v>
      </c>
      <c r="F8" s="4">
        <v>1</v>
      </c>
      <c r="G8" s="4">
        <v>100</v>
      </c>
      <c r="H8" s="4">
        <v>1</v>
      </c>
      <c r="I8" s="4">
        <v>11</v>
      </c>
      <c r="J8" s="4">
        <v>71</v>
      </c>
      <c r="K8" s="4">
        <v>4</v>
      </c>
      <c r="L8" s="4"/>
      <c r="M8" s="1"/>
      <c r="N8" s="15"/>
    </row>
    <row r="9" spans="1:14" ht="15.5" x14ac:dyDescent="0.35">
      <c r="A9" s="4" t="s">
        <v>19</v>
      </c>
      <c r="B9" s="4">
        <v>1600</v>
      </c>
      <c r="C9" s="4">
        <v>5</v>
      </c>
      <c r="D9" s="4">
        <v>45</v>
      </c>
      <c r="E9" s="4">
        <v>345</v>
      </c>
      <c r="F9" s="4">
        <v>1</v>
      </c>
      <c r="G9" s="4">
        <v>200</v>
      </c>
      <c r="H9" s="4">
        <v>2</v>
      </c>
      <c r="I9" s="4">
        <v>30</v>
      </c>
      <c r="J9" s="4">
        <v>150</v>
      </c>
      <c r="K9" s="4">
        <v>2</v>
      </c>
      <c r="L9" s="4"/>
      <c r="M9" s="1"/>
      <c r="N9" s="15"/>
    </row>
    <row r="10" spans="1:14" ht="15.5" x14ac:dyDescent="0.35">
      <c r="A10" s="4" t="s">
        <v>21</v>
      </c>
      <c r="B10" s="4">
        <v>1600</v>
      </c>
      <c r="C10" s="4">
        <v>5</v>
      </c>
      <c r="D10" s="4">
        <v>35</v>
      </c>
      <c r="E10" s="4">
        <v>335</v>
      </c>
      <c r="F10" s="4">
        <v>1</v>
      </c>
      <c r="G10" s="4">
        <v>200</v>
      </c>
      <c r="H10" s="4">
        <v>2</v>
      </c>
      <c r="I10" s="4">
        <v>30</v>
      </c>
      <c r="J10" s="4">
        <v>150</v>
      </c>
      <c r="K10" s="4">
        <v>2</v>
      </c>
      <c r="L10" s="4"/>
      <c r="M10" s="1"/>
      <c r="N10" s="15"/>
    </row>
    <row r="11" spans="1:14" ht="15.5" x14ac:dyDescent="0.35">
      <c r="A11" s="4" t="s">
        <v>23</v>
      </c>
      <c r="B11" s="4">
        <v>1600</v>
      </c>
      <c r="C11" s="4">
        <v>5</v>
      </c>
      <c r="D11" s="4">
        <v>35</v>
      </c>
      <c r="E11" s="4">
        <v>335</v>
      </c>
      <c r="F11" s="4">
        <v>1</v>
      </c>
      <c r="G11" s="4">
        <v>200</v>
      </c>
      <c r="H11" s="4">
        <v>2</v>
      </c>
      <c r="I11" s="4">
        <v>30</v>
      </c>
      <c r="J11" s="4">
        <v>150</v>
      </c>
      <c r="K11" s="4">
        <v>2</v>
      </c>
      <c r="L11" s="4"/>
      <c r="M11" s="1"/>
      <c r="N11" s="15"/>
    </row>
    <row r="12" spans="1:14" ht="15.5" x14ac:dyDescent="0.35">
      <c r="A12" s="16" t="s">
        <v>354</v>
      </c>
      <c r="B12" s="4">
        <v>1600</v>
      </c>
      <c r="C12" s="4">
        <v>5</v>
      </c>
      <c r="D12" s="4">
        <v>35</v>
      </c>
      <c r="E12" s="4">
        <v>335</v>
      </c>
      <c r="F12" s="4">
        <v>1</v>
      </c>
      <c r="G12" s="4">
        <v>200</v>
      </c>
      <c r="H12" s="4">
        <v>2</v>
      </c>
      <c r="I12" s="4">
        <v>30</v>
      </c>
      <c r="J12" s="4">
        <v>150</v>
      </c>
      <c r="K12" s="4">
        <v>2</v>
      </c>
      <c r="L12" s="4"/>
      <c r="M12" s="1"/>
      <c r="N12" s="15"/>
    </row>
    <row r="13" spans="1:14" ht="15.5" x14ac:dyDescent="0.35">
      <c r="A13" s="16" t="s">
        <v>355</v>
      </c>
      <c r="B13" s="4">
        <v>1600</v>
      </c>
      <c r="C13" s="4">
        <v>5</v>
      </c>
      <c r="D13" s="4">
        <v>35</v>
      </c>
      <c r="E13" s="4">
        <v>335</v>
      </c>
      <c r="F13" s="4">
        <v>1</v>
      </c>
      <c r="G13" s="4">
        <v>200</v>
      </c>
      <c r="H13" s="4">
        <v>2</v>
      </c>
      <c r="I13" s="4">
        <v>30</v>
      </c>
      <c r="J13" s="4">
        <v>150</v>
      </c>
      <c r="K13" s="4">
        <v>2</v>
      </c>
      <c r="L13" s="4"/>
      <c r="M13" s="1"/>
      <c r="N13" s="15"/>
    </row>
    <row r="14" spans="1:14" ht="15.5" x14ac:dyDescent="0.35">
      <c r="A14" s="16" t="s">
        <v>25</v>
      </c>
      <c r="B14" s="4">
        <v>800</v>
      </c>
      <c r="C14" s="4">
        <v>2</v>
      </c>
      <c r="D14" s="4">
        <v>40</v>
      </c>
      <c r="E14" s="4">
        <v>160</v>
      </c>
      <c r="F14" s="4">
        <v>3</v>
      </c>
      <c r="G14" s="4">
        <v>50</v>
      </c>
      <c r="H14" s="4">
        <v>0</v>
      </c>
      <c r="I14" s="4">
        <v>35</v>
      </c>
      <c r="J14" s="4">
        <v>35</v>
      </c>
      <c r="K14" s="4">
        <v>6</v>
      </c>
      <c r="L14" s="4"/>
      <c r="M14" s="1"/>
      <c r="N14" s="15"/>
    </row>
    <row r="15" spans="1:14" ht="15.5" x14ac:dyDescent="0.35">
      <c r="A15" s="16" t="s">
        <v>356</v>
      </c>
      <c r="B15" s="4">
        <v>1600</v>
      </c>
      <c r="C15" s="4">
        <v>6</v>
      </c>
      <c r="D15" s="4">
        <v>40</v>
      </c>
      <c r="E15" s="4">
        <v>400</v>
      </c>
      <c r="F15" s="4">
        <v>1</v>
      </c>
      <c r="G15" s="4">
        <v>100</v>
      </c>
      <c r="H15" s="4">
        <v>1</v>
      </c>
      <c r="I15" s="4">
        <v>18</v>
      </c>
      <c r="J15" s="4">
        <v>78</v>
      </c>
      <c r="K15" s="4">
        <v>4</v>
      </c>
      <c r="L15" s="4"/>
      <c r="M15" s="1"/>
      <c r="N15" s="15"/>
    </row>
    <row r="16" spans="1:14" ht="15.5" x14ac:dyDescent="0.35">
      <c r="A16" s="4" t="s">
        <v>2</v>
      </c>
      <c r="B16" s="4">
        <v>400</v>
      </c>
      <c r="C16" s="4">
        <v>1</v>
      </c>
      <c r="D16" s="4">
        <v>40</v>
      </c>
      <c r="E16" s="4">
        <v>100</v>
      </c>
      <c r="F16" s="4">
        <v>6</v>
      </c>
      <c r="G16" s="4">
        <v>25</v>
      </c>
      <c r="H16" s="4">
        <v>0</v>
      </c>
      <c r="I16" s="4">
        <v>23</v>
      </c>
      <c r="J16" s="4">
        <v>23</v>
      </c>
      <c r="K16" s="4">
        <v>6</v>
      </c>
      <c r="L16" s="4"/>
      <c r="M16" s="1"/>
      <c r="N16" s="15" t="s">
        <v>357</v>
      </c>
    </row>
    <row r="17" spans="1:14" ht="15.5" x14ac:dyDescent="0.35">
      <c r="A17" s="4" t="s">
        <v>5</v>
      </c>
      <c r="B17" s="4">
        <v>400</v>
      </c>
      <c r="C17" s="4">
        <v>1</v>
      </c>
      <c r="D17" s="4">
        <v>30</v>
      </c>
      <c r="E17" s="4">
        <v>90</v>
      </c>
      <c r="F17" s="4">
        <v>6</v>
      </c>
      <c r="G17" s="4">
        <v>25</v>
      </c>
      <c r="H17" s="4">
        <v>0</v>
      </c>
      <c r="I17" s="4">
        <v>21</v>
      </c>
      <c r="J17" s="4">
        <v>21</v>
      </c>
      <c r="K17" s="4">
        <v>6</v>
      </c>
      <c r="L17" s="4"/>
      <c r="M17" s="1"/>
      <c r="N17" s="15"/>
    </row>
    <row r="18" spans="1:14" ht="15.5" x14ac:dyDescent="0.35">
      <c r="A18" s="4" t="s">
        <v>8</v>
      </c>
      <c r="B18" s="4">
        <v>800</v>
      </c>
      <c r="C18" s="4">
        <v>3</v>
      </c>
      <c r="D18" s="4">
        <v>15</v>
      </c>
      <c r="E18" s="4">
        <v>195</v>
      </c>
      <c r="F18" s="4">
        <v>3</v>
      </c>
      <c r="G18" s="4">
        <v>50</v>
      </c>
      <c r="H18" s="4">
        <v>0</v>
      </c>
      <c r="I18" s="4">
        <v>42</v>
      </c>
      <c r="J18" s="4">
        <v>42</v>
      </c>
      <c r="K18" s="4">
        <v>6</v>
      </c>
      <c r="L18" s="4"/>
      <c r="M18" s="1"/>
      <c r="N18" s="15"/>
    </row>
    <row r="19" spans="1:14" ht="15.5" x14ac:dyDescent="0.35">
      <c r="A19" s="4" t="s">
        <v>10</v>
      </c>
      <c r="B19" s="4">
        <v>800</v>
      </c>
      <c r="C19" s="4">
        <v>3</v>
      </c>
      <c r="D19" s="4">
        <v>0</v>
      </c>
      <c r="E19" s="4">
        <v>180</v>
      </c>
      <c r="F19" s="4">
        <v>3</v>
      </c>
      <c r="G19" s="4">
        <v>50</v>
      </c>
      <c r="H19" s="4">
        <v>0</v>
      </c>
      <c r="I19" s="4">
        <v>40</v>
      </c>
      <c r="J19" s="4">
        <v>40</v>
      </c>
      <c r="K19" s="4">
        <v>6</v>
      </c>
      <c r="L19" s="4"/>
      <c r="M19" s="1"/>
      <c r="N19" s="15"/>
    </row>
    <row r="20" spans="1:14" ht="15.5" x14ac:dyDescent="0.35">
      <c r="A20" s="4" t="s">
        <v>12</v>
      </c>
      <c r="B20" s="4">
        <v>800</v>
      </c>
      <c r="C20" s="4">
        <v>2</v>
      </c>
      <c r="D20" s="4">
        <v>50</v>
      </c>
      <c r="E20" s="4">
        <v>170</v>
      </c>
      <c r="F20" s="4">
        <v>3</v>
      </c>
      <c r="G20" s="4">
        <v>50</v>
      </c>
      <c r="H20" s="4">
        <v>0</v>
      </c>
      <c r="I20" s="4">
        <v>38</v>
      </c>
      <c r="J20" s="4">
        <v>38</v>
      </c>
      <c r="K20" s="4">
        <v>6</v>
      </c>
      <c r="L20" s="4"/>
      <c r="M20" s="1"/>
      <c r="N20" s="15"/>
    </row>
    <row r="21" spans="1:14" ht="15.5" x14ac:dyDescent="0.35">
      <c r="A21" s="4" t="s">
        <v>14</v>
      </c>
      <c r="B21" s="4">
        <v>1600</v>
      </c>
      <c r="C21" s="4">
        <v>6</v>
      </c>
      <c r="D21" s="4">
        <v>30</v>
      </c>
      <c r="E21" s="4">
        <v>390</v>
      </c>
      <c r="F21" s="4">
        <v>1</v>
      </c>
      <c r="G21" s="4">
        <v>100</v>
      </c>
      <c r="H21" s="4">
        <v>1</v>
      </c>
      <c r="I21" s="4">
        <v>14</v>
      </c>
      <c r="J21" s="4">
        <v>74</v>
      </c>
      <c r="K21" s="4">
        <v>4</v>
      </c>
      <c r="L21" s="4"/>
      <c r="M21" s="1"/>
      <c r="N21" s="15"/>
    </row>
    <row r="22" spans="1:14" ht="15.5" x14ac:dyDescent="0.35">
      <c r="A22" s="4" t="s">
        <v>16</v>
      </c>
      <c r="B22" s="4">
        <v>1600</v>
      </c>
      <c r="C22" s="4">
        <v>6</v>
      </c>
      <c r="D22" s="4">
        <v>15</v>
      </c>
      <c r="E22" s="4">
        <v>375</v>
      </c>
      <c r="F22" s="4">
        <v>1</v>
      </c>
      <c r="G22" s="4">
        <v>100</v>
      </c>
      <c r="H22" s="4">
        <v>1</v>
      </c>
      <c r="I22" s="4">
        <v>11</v>
      </c>
      <c r="J22" s="4">
        <v>71</v>
      </c>
      <c r="K22" s="4">
        <v>4</v>
      </c>
      <c r="L22" s="4"/>
      <c r="M22" s="1"/>
      <c r="N22" s="15"/>
    </row>
    <row r="23" spans="1:14" ht="15.5" x14ac:dyDescent="0.35">
      <c r="A23" s="4" t="s">
        <v>18</v>
      </c>
      <c r="B23" s="4">
        <v>1600</v>
      </c>
      <c r="C23" s="4">
        <v>6</v>
      </c>
      <c r="D23" s="4">
        <v>15</v>
      </c>
      <c r="E23" s="4">
        <v>375</v>
      </c>
      <c r="F23" s="4">
        <v>1</v>
      </c>
      <c r="G23" s="4">
        <v>200</v>
      </c>
      <c r="H23" s="4">
        <v>2</v>
      </c>
      <c r="I23" s="4">
        <v>30</v>
      </c>
      <c r="J23" s="4">
        <v>150</v>
      </c>
      <c r="K23" s="4">
        <v>2</v>
      </c>
      <c r="L23" s="4"/>
      <c r="M23" s="1"/>
      <c r="N23" s="15"/>
    </row>
    <row r="24" spans="1:14" ht="15.5" x14ac:dyDescent="0.35">
      <c r="A24" s="4" t="s">
        <v>20</v>
      </c>
      <c r="B24" s="4">
        <v>1600</v>
      </c>
      <c r="C24" s="4">
        <v>6</v>
      </c>
      <c r="D24" s="4">
        <v>15</v>
      </c>
      <c r="E24" s="4">
        <v>375</v>
      </c>
      <c r="F24" s="4">
        <v>1</v>
      </c>
      <c r="G24" s="4">
        <v>200</v>
      </c>
      <c r="H24" s="4">
        <v>2</v>
      </c>
      <c r="I24" s="4">
        <v>30</v>
      </c>
      <c r="J24" s="4">
        <v>150</v>
      </c>
      <c r="K24" s="4">
        <v>2</v>
      </c>
      <c r="L24" s="4"/>
      <c r="M24" s="1"/>
      <c r="N24" s="15"/>
    </row>
    <row r="25" spans="1:14" ht="15.5" x14ac:dyDescent="0.35">
      <c r="A25" s="4" t="s">
        <v>22</v>
      </c>
      <c r="B25" s="4">
        <v>1600</v>
      </c>
      <c r="C25" s="4">
        <v>6</v>
      </c>
      <c r="D25" s="4">
        <v>15</v>
      </c>
      <c r="E25" s="4">
        <v>375</v>
      </c>
      <c r="F25" s="4">
        <v>1</v>
      </c>
      <c r="G25" s="4">
        <v>200</v>
      </c>
      <c r="H25" s="4">
        <v>2</v>
      </c>
      <c r="I25" s="4">
        <v>30</v>
      </c>
      <c r="J25" s="4">
        <v>150</v>
      </c>
      <c r="K25" s="4">
        <v>2</v>
      </c>
      <c r="L25" s="4"/>
      <c r="M25" s="1"/>
      <c r="N25" s="15"/>
    </row>
    <row r="26" spans="1:14" ht="15.5" x14ac:dyDescent="0.35">
      <c r="A26" s="16" t="s">
        <v>358</v>
      </c>
      <c r="B26" s="4">
        <v>1600</v>
      </c>
      <c r="C26" s="4">
        <v>6</v>
      </c>
      <c r="D26" s="4">
        <v>15</v>
      </c>
      <c r="E26" s="4">
        <v>375</v>
      </c>
      <c r="F26" s="4">
        <v>1</v>
      </c>
      <c r="G26" s="4">
        <v>200</v>
      </c>
      <c r="H26" s="4">
        <v>2</v>
      </c>
      <c r="I26" s="4">
        <v>30</v>
      </c>
      <c r="J26" s="4">
        <v>150</v>
      </c>
      <c r="K26" s="4">
        <v>2</v>
      </c>
      <c r="L26" s="4"/>
      <c r="M26" s="1"/>
      <c r="N26" s="15"/>
    </row>
    <row r="27" spans="1:14" ht="15.5" x14ac:dyDescent="0.35">
      <c r="A27" s="16" t="s">
        <v>359</v>
      </c>
      <c r="B27" s="4">
        <v>1600</v>
      </c>
      <c r="C27" s="4">
        <v>6</v>
      </c>
      <c r="D27" s="4">
        <v>15</v>
      </c>
      <c r="E27" s="4">
        <v>375</v>
      </c>
      <c r="F27" s="4">
        <v>1</v>
      </c>
      <c r="G27" s="4">
        <v>200</v>
      </c>
      <c r="H27" s="4">
        <v>2</v>
      </c>
      <c r="I27" s="4">
        <v>30</v>
      </c>
      <c r="J27" s="4">
        <v>150</v>
      </c>
      <c r="K27" s="4">
        <v>2</v>
      </c>
      <c r="L27" s="4"/>
      <c r="M27" s="1"/>
      <c r="N27" s="15"/>
    </row>
    <row r="28" spans="1:14" ht="15.5" x14ac:dyDescent="0.35">
      <c r="A28" s="16" t="s">
        <v>24</v>
      </c>
      <c r="B28" s="4">
        <v>800</v>
      </c>
      <c r="C28" s="4">
        <v>3</v>
      </c>
      <c r="D28" s="4">
        <v>20</v>
      </c>
      <c r="E28" s="4">
        <v>200</v>
      </c>
      <c r="F28" s="4">
        <v>3</v>
      </c>
      <c r="G28" s="4">
        <v>50</v>
      </c>
      <c r="H28" s="4">
        <v>0</v>
      </c>
      <c r="I28" s="4">
        <v>40</v>
      </c>
      <c r="J28" s="4">
        <v>40</v>
      </c>
      <c r="K28" s="4">
        <v>6</v>
      </c>
      <c r="L28" s="4"/>
      <c r="M28" s="1"/>
      <c r="N28" s="15"/>
    </row>
    <row r="29" spans="1:14" ht="15.5" x14ac:dyDescent="0.35">
      <c r="A29" s="16" t="s">
        <v>360</v>
      </c>
      <c r="B29" s="4">
        <v>1600</v>
      </c>
      <c r="C29" s="4">
        <v>7</v>
      </c>
      <c r="D29" s="4">
        <v>0</v>
      </c>
      <c r="E29" s="4">
        <v>420</v>
      </c>
      <c r="F29" s="4">
        <v>1</v>
      </c>
      <c r="G29" s="4">
        <v>100</v>
      </c>
      <c r="H29" s="4">
        <v>1</v>
      </c>
      <c r="I29" s="4">
        <v>30</v>
      </c>
      <c r="J29" s="4">
        <v>90</v>
      </c>
      <c r="K29" s="4">
        <v>4</v>
      </c>
      <c r="L29" s="4"/>
      <c r="M29" s="1"/>
      <c r="N29" s="15"/>
    </row>
    <row r="30" spans="1:14" ht="15.5" x14ac:dyDescent="0.35">
      <c r="A30" s="16" t="s">
        <v>361</v>
      </c>
      <c r="B30" s="4" t="s">
        <v>362</v>
      </c>
      <c r="C30" s="4">
        <v>3</v>
      </c>
      <c r="D30" s="4">
        <v>10</v>
      </c>
      <c r="E30" s="4">
        <v>190</v>
      </c>
      <c r="F30" s="4">
        <v>3</v>
      </c>
      <c r="G30" s="4" t="s">
        <v>363</v>
      </c>
      <c r="H30" s="4">
        <v>0</v>
      </c>
      <c r="I30" s="4">
        <v>48</v>
      </c>
      <c r="J30" s="4">
        <v>48</v>
      </c>
      <c r="K30" s="4">
        <v>6</v>
      </c>
      <c r="L30" s="4"/>
      <c r="M30" s="1"/>
      <c r="N30" s="15" t="s">
        <v>364</v>
      </c>
    </row>
    <row r="31" spans="1:14" ht="15.5" x14ac:dyDescent="0.35">
      <c r="A31" s="16" t="s">
        <v>365</v>
      </c>
      <c r="B31" s="4" t="s">
        <v>362</v>
      </c>
      <c r="C31" s="4">
        <v>3</v>
      </c>
      <c r="D31" s="4">
        <v>10</v>
      </c>
      <c r="E31" s="4">
        <v>190</v>
      </c>
      <c r="F31" s="4">
        <v>3</v>
      </c>
      <c r="G31" s="4" t="s">
        <v>363</v>
      </c>
      <c r="H31" s="4">
        <v>0</v>
      </c>
      <c r="I31" s="4">
        <v>45</v>
      </c>
      <c r="J31" s="4">
        <v>45</v>
      </c>
      <c r="K31" s="4">
        <v>6</v>
      </c>
      <c r="L31" s="4"/>
      <c r="M31" s="1"/>
      <c r="N31" s="15"/>
    </row>
    <row r="32" spans="1:14" ht="15.5" x14ac:dyDescent="0.35">
      <c r="A32" s="16" t="s">
        <v>366</v>
      </c>
      <c r="B32" s="4" t="s">
        <v>362</v>
      </c>
      <c r="C32" s="4">
        <v>3</v>
      </c>
      <c r="D32" s="4">
        <v>0</v>
      </c>
      <c r="E32" s="4">
        <v>180</v>
      </c>
      <c r="F32" s="4">
        <v>3</v>
      </c>
      <c r="G32" s="4" t="s">
        <v>363</v>
      </c>
      <c r="H32" s="4">
        <v>0</v>
      </c>
      <c r="I32" s="4">
        <v>42</v>
      </c>
      <c r="J32" s="4">
        <v>42</v>
      </c>
      <c r="K32" s="4">
        <v>6</v>
      </c>
      <c r="L32" s="4"/>
      <c r="M32" s="1"/>
      <c r="N32" s="15"/>
    </row>
    <row r="33" spans="1:14" ht="15.5" x14ac:dyDescent="0.35">
      <c r="A33" s="16" t="s">
        <v>367</v>
      </c>
      <c r="B33" s="4" t="s">
        <v>362</v>
      </c>
      <c r="C33" s="4">
        <v>2</v>
      </c>
      <c r="D33" s="4">
        <v>55</v>
      </c>
      <c r="E33" s="4">
        <v>175</v>
      </c>
      <c r="F33" s="4">
        <v>3</v>
      </c>
      <c r="G33" s="4" t="s">
        <v>368</v>
      </c>
      <c r="H33" s="4">
        <v>1</v>
      </c>
      <c r="I33" s="4">
        <v>17</v>
      </c>
      <c r="J33" s="4">
        <v>77</v>
      </c>
      <c r="K33" s="4">
        <v>4</v>
      </c>
      <c r="L33" s="4"/>
      <c r="M33" s="1"/>
      <c r="N33" s="15"/>
    </row>
    <row r="34" spans="1:14" ht="15.5" x14ac:dyDescent="0.35">
      <c r="A34" s="16" t="s">
        <v>369</v>
      </c>
      <c r="B34" s="4" t="s">
        <v>370</v>
      </c>
      <c r="C34" s="4">
        <v>6</v>
      </c>
      <c r="D34" s="4">
        <v>15</v>
      </c>
      <c r="E34" s="4">
        <v>375</v>
      </c>
      <c r="F34" s="4">
        <v>1</v>
      </c>
      <c r="G34" s="4" t="s">
        <v>368</v>
      </c>
      <c r="H34" s="4">
        <v>1</v>
      </c>
      <c r="I34" s="4">
        <v>17</v>
      </c>
      <c r="J34" s="4">
        <v>77</v>
      </c>
      <c r="K34" s="4">
        <v>4</v>
      </c>
      <c r="L34" s="4"/>
      <c r="M34" s="1"/>
      <c r="N34" s="15"/>
    </row>
    <row r="35" spans="1:14" ht="15.5" x14ac:dyDescent="0.35">
      <c r="A35" s="16" t="s">
        <v>371</v>
      </c>
      <c r="B35" s="4" t="s">
        <v>370</v>
      </c>
      <c r="C35" s="4">
        <v>6</v>
      </c>
      <c r="D35" s="4">
        <v>10</v>
      </c>
      <c r="E35" s="4">
        <v>370</v>
      </c>
      <c r="F35" s="4">
        <v>1</v>
      </c>
      <c r="G35" s="4" t="s">
        <v>372</v>
      </c>
      <c r="H35" s="4">
        <v>2</v>
      </c>
      <c r="I35" s="4">
        <v>30</v>
      </c>
      <c r="J35" s="4">
        <v>150</v>
      </c>
      <c r="K35" s="4">
        <v>2</v>
      </c>
      <c r="L35" s="4"/>
      <c r="M35" s="1"/>
      <c r="N35" s="15"/>
    </row>
    <row r="36" spans="1:14" ht="15.5" x14ac:dyDescent="0.35">
      <c r="A36" s="16" t="s">
        <v>373</v>
      </c>
      <c r="B36" s="4" t="s">
        <v>370</v>
      </c>
      <c r="C36" s="4">
        <v>5</v>
      </c>
      <c r="D36" s="4">
        <v>50</v>
      </c>
      <c r="E36" s="4">
        <v>350</v>
      </c>
      <c r="F36" s="4">
        <v>1</v>
      </c>
      <c r="G36" s="4" t="s">
        <v>372</v>
      </c>
      <c r="H36" s="4">
        <v>2</v>
      </c>
      <c r="I36" s="4">
        <v>30</v>
      </c>
      <c r="J36" s="4">
        <v>150</v>
      </c>
      <c r="K36" s="4">
        <v>2</v>
      </c>
      <c r="L36" s="4"/>
      <c r="M36" s="1"/>
      <c r="N36" s="15"/>
    </row>
    <row r="37" spans="1:14" ht="15.5" x14ac:dyDescent="0.35">
      <c r="A37" s="16" t="s">
        <v>374</v>
      </c>
      <c r="B37" s="4" t="s">
        <v>370</v>
      </c>
      <c r="C37" s="4">
        <v>5</v>
      </c>
      <c r="D37" s="4">
        <v>45</v>
      </c>
      <c r="E37" s="4">
        <v>345</v>
      </c>
      <c r="F37" s="4">
        <v>1</v>
      </c>
      <c r="G37" s="4" t="s">
        <v>372</v>
      </c>
      <c r="H37" s="4">
        <v>2</v>
      </c>
      <c r="I37" s="4">
        <v>30</v>
      </c>
      <c r="J37" s="4">
        <v>150</v>
      </c>
      <c r="K37" s="4">
        <v>2</v>
      </c>
      <c r="L37" s="4"/>
      <c r="M37" s="1"/>
      <c r="N37" s="15"/>
    </row>
    <row r="38" spans="1:14" ht="15.5" x14ac:dyDescent="0.35">
      <c r="A38" s="16" t="s">
        <v>375</v>
      </c>
      <c r="B38" s="4" t="s">
        <v>370</v>
      </c>
      <c r="C38" s="4">
        <v>5</v>
      </c>
      <c r="D38" s="4">
        <v>35</v>
      </c>
      <c r="E38" s="4">
        <v>335</v>
      </c>
      <c r="F38" s="4">
        <v>1</v>
      </c>
      <c r="G38" s="4" t="s">
        <v>372</v>
      </c>
      <c r="H38" s="4">
        <v>2</v>
      </c>
      <c r="I38" s="4">
        <v>30</v>
      </c>
      <c r="J38" s="4">
        <v>150</v>
      </c>
      <c r="K38" s="4">
        <v>2</v>
      </c>
      <c r="L38" s="4"/>
      <c r="M38" s="1"/>
      <c r="N38" s="15"/>
    </row>
    <row r="39" spans="1:14" ht="15.5" x14ac:dyDescent="0.35">
      <c r="A39" s="16" t="s">
        <v>376</v>
      </c>
      <c r="B39" s="4" t="s">
        <v>370</v>
      </c>
      <c r="C39" s="4">
        <v>5</v>
      </c>
      <c r="D39" s="4">
        <v>35</v>
      </c>
      <c r="E39" s="4">
        <v>335</v>
      </c>
      <c r="F39" s="4">
        <v>1</v>
      </c>
      <c r="G39" s="4" t="s">
        <v>372</v>
      </c>
      <c r="H39" s="4">
        <v>2</v>
      </c>
      <c r="I39" s="4">
        <v>30</v>
      </c>
      <c r="J39" s="4">
        <v>150</v>
      </c>
      <c r="K39" s="4">
        <v>2</v>
      </c>
      <c r="L39" s="4"/>
      <c r="M39" s="1"/>
      <c r="N39" s="15"/>
    </row>
    <row r="40" spans="1:14" ht="15.5" x14ac:dyDescent="0.35">
      <c r="A40" s="16" t="s">
        <v>377</v>
      </c>
      <c r="B40" s="4" t="s">
        <v>370</v>
      </c>
      <c r="C40" s="4">
        <v>5</v>
      </c>
      <c r="D40" s="4">
        <v>35</v>
      </c>
      <c r="E40" s="4">
        <v>335</v>
      </c>
      <c r="F40" s="4">
        <v>1</v>
      </c>
      <c r="G40" s="4" t="s">
        <v>372</v>
      </c>
      <c r="H40" s="4">
        <v>2</v>
      </c>
      <c r="I40" s="4">
        <v>30</v>
      </c>
      <c r="J40" s="4">
        <v>150</v>
      </c>
      <c r="K40" s="4">
        <v>2</v>
      </c>
      <c r="L40" s="4"/>
      <c r="M40" s="1"/>
      <c r="N40" s="15"/>
    </row>
    <row r="41" spans="1:14" ht="15.5" x14ac:dyDescent="0.35">
      <c r="A41" s="16" t="s">
        <v>378</v>
      </c>
      <c r="B41" s="4" t="s">
        <v>370</v>
      </c>
      <c r="C41" s="4">
        <v>5</v>
      </c>
      <c r="D41" s="4">
        <v>35</v>
      </c>
      <c r="E41" s="4">
        <v>335</v>
      </c>
      <c r="F41" s="4">
        <v>1</v>
      </c>
      <c r="G41" s="4" t="s">
        <v>372</v>
      </c>
      <c r="H41" s="4">
        <v>2</v>
      </c>
      <c r="I41" s="4">
        <v>30</v>
      </c>
      <c r="J41" s="4">
        <v>150</v>
      </c>
      <c r="K41" s="4">
        <v>2</v>
      </c>
      <c r="L41" s="4"/>
      <c r="M41" s="1"/>
      <c r="N41" s="15"/>
    </row>
    <row r="42" spans="1:14" ht="15.5" x14ac:dyDescent="0.35">
      <c r="A42" s="16" t="s">
        <v>379</v>
      </c>
      <c r="B42" s="4" t="s">
        <v>362</v>
      </c>
      <c r="C42" s="4">
        <v>2</v>
      </c>
      <c r="D42" s="4">
        <v>40</v>
      </c>
      <c r="E42" s="4">
        <v>160</v>
      </c>
      <c r="F42" s="4">
        <v>3</v>
      </c>
      <c r="G42" s="4" t="s">
        <v>363</v>
      </c>
      <c r="H42" s="4">
        <v>0</v>
      </c>
      <c r="I42" s="4">
        <v>35</v>
      </c>
      <c r="J42" s="4">
        <v>35</v>
      </c>
      <c r="K42" s="4">
        <v>6</v>
      </c>
      <c r="L42" s="4"/>
      <c r="M42" s="1"/>
      <c r="N42" s="15"/>
    </row>
    <row r="43" spans="1:14" ht="15.5" x14ac:dyDescent="0.35">
      <c r="A43" s="16" t="s">
        <v>380</v>
      </c>
      <c r="B43" s="4" t="s">
        <v>370</v>
      </c>
      <c r="C43" s="4">
        <v>6</v>
      </c>
      <c r="D43" s="4">
        <v>40</v>
      </c>
      <c r="E43" s="4">
        <v>400</v>
      </c>
      <c r="F43" s="4">
        <v>1</v>
      </c>
      <c r="G43" s="4">
        <v>100</v>
      </c>
      <c r="H43" s="4">
        <v>1</v>
      </c>
      <c r="I43" s="4">
        <v>18</v>
      </c>
      <c r="J43" s="4">
        <v>78</v>
      </c>
      <c r="K43" s="4">
        <v>4</v>
      </c>
      <c r="L43" s="4"/>
      <c r="M43" s="1"/>
      <c r="N43" s="15"/>
    </row>
    <row r="44" spans="1:14" ht="15.5" x14ac:dyDescent="0.35">
      <c r="A44" s="16" t="s">
        <v>381</v>
      </c>
      <c r="B44" s="4" t="s">
        <v>362</v>
      </c>
      <c r="C44" s="4">
        <v>3</v>
      </c>
      <c r="D44" s="4">
        <v>15</v>
      </c>
      <c r="E44" s="4">
        <v>195</v>
      </c>
      <c r="F44" s="4">
        <v>3</v>
      </c>
      <c r="G44" s="4" t="s">
        <v>363</v>
      </c>
      <c r="H44" s="4">
        <v>0</v>
      </c>
      <c r="I44" s="4">
        <v>48</v>
      </c>
      <c r="J44" s="4">
        <v>48</v>
      </c>
      <c r="K44" s="4">
        <v>6</v>
      </c>
      <c r="L44" s="4"/>
      <c r="M44" s="1"/>
      <c r="N44" s="15" t="s">
        <v>382</v>
      </c>
    </row>
    <row r="45" spans="1:14" ht="15.5" x14ac:dyDescent="0.35">
      <c r="A45" s="16" t="s">
        <v>383</v>
      </c>
      <c r="B45" s="4" t="s">
        <v>362</v>
      </c>
      <c r="C45" s="4">
        <v>3</v>
      </c>
      <c r="D45" s="4">
        <v>15</v>
      </c>
      <c r="E45" s="4">
        <v>195</v>
      </c>
      <c r="F45" s="4">
        <v>3</v>
      </c>
      <c r="G45" s="4" t="s">
        <v>363</v>
      </c>
      <c r="H45" s="4">
        <v>0</v>
      </c>
      <c r="I45" s="4">
        <v>45</v>
      </c>
      <c r="J45" s="4">
        <v>45</v>
      </c>
      <c r="K45" s="4">
        <v>6</v>
      </c>
      <c r="L45" s="4"/>
      <c r="M45" s="1"/>
      <c r="N45" s="15"/>
    </row>
    <row r="46" spans="1:14" ht="15.5" x14ac:dyDescent="0.35">
      <c r="A46" s="16" t="s">
        <v>384</v>
      </c>
      <c r="B46" s="4" t="s">
        <v>362</v>
      </c>
      <c r="C46" s="4">
        <v>3</v>
      </c>
      <c r="D46" s="4">
        <v>15</v>
      </c>
      <c r="E46" s="4">
        <v>195</v>
      </c>
      <c r="F46" s="4">
        <v>3</v>
      </c>
      <c r="G46" s="4" t="s">
        <v>363</v>
      </c>
      <c r="H46" s="4">
        <v>0</v>
      </c>
      <c r="I46" s="4">
        <v>42</v>
      </c>
      <c r="J46" s="4">
        <v>42</v>
      </c>
      <c r="K46" s="4">
        <v>6</v>
      </c>
      <c r="L46" s="4"/>
      <c r="M46" s="1"/>
      <c r="N46" s="15"/>
    </row>
    <row r="47" spans="1:14" ht="15.5" x14ac:dyDescent="0.35">
      <c r="A47" s="16" t="s">
        <v>385</v>
      </c>
      <c r="B47" s="4" t="s">
        <v>362</v>
      </c>
      <c r="C47" s="4">
        <v>3</v>
      </c>
      <c r="D47" s="4">
        <v>0</v>
      </c>
      <c r="E47" s="4">
        <v>180</v>
      </c>
      <c r="F47" s="4">
        <v>3</v>
      </c>
      <c r="G47" s="4" t="s">
        <v>368</v>
      </c>
      <c r="H47" s="4">
        <v>1</v>
      </c>
      <c r="I47" s="4">
        <v>17</v>
      </c>
      <c r="J47" s="4">
        <v>77</v>
      </c>
      <c r="K47" s="4">
        <v>4</v>
      </c>
      <c r="L47" s="4"/>
      <c r="M47" s="1"/>
      <c r="N47" s="15"/>
    </row>
    <row r="48" spans="1:14" ht="15.5" x14ac:dyDescent="0.35">
      <c r="A48" s="16" t="s">
        <v>386</v>
      </c>
      <c r="B48" s="4" t="s">
        <v>370</v>
      </c>
      <c r="C48" s="4">
        <v>6</v>
      </c>
      <c r="D48" s="4">
        <v>35</v>
      </c>
      <c r="E48" s="4">
        <v>395</v>
      </c>
      <c r="F48" s="4">
        <v>1</v>
      </c>
      <c r="G48" s="4" t="s">
        <v>368</v>
      </c>
      <c r="H48" s="4">
        <v>1</v>
      </c>
      <c r="I48" s="4">
        <v>17</v>
      </c>
      <c r="J48" s="4">
        <v>77</v>
      </c>
      <c r="K48" s="4">
        <v>4</v>
      </c>
      <c r="L48" s="4"/>
      <c r="M48" s="1"/>
      <c r="N48" s="15"/>
    </row>
    <row r="49" spans="1:14" ht="15.5" x14ac:dyDescent="0.35">
      <c r="A49" s="16" t="s">
        <v>387</v>
      </c>
      <c r="B49" s="4" t="s">
        <v>370</v>
      </c>
      <c r="C49" s="4">
        <v>6</v>
      </c>
      <c r="D49" s="4">
        <v>30</v>
      </c>
      <c r="E49" s="4">
        <v>390</v>
      </c>
      <c r="F49" s="4">
        <v>1</v>
      </c>
      <c r="G49" s="4" t="s">
        <v>372</v>
      </c>
      <c r="H49" s="4">
        <v>2</v>
      </c>
      <c r="I49" s="4">
        <v>30</v>
      </c>
      <c r="J49" s="4">
        <v>150</v>
      </c>
      <c r="K49" s="4">
        <v>2</v>
      </c>
      <c r="L49" s="4"/>
      <c r="M49" s="1"/>
      <c r="N49" s="15"/>
    </row>
    <row r="50" spans="1:14" ht="15.5" x14ac:dyDescent="0.35">
      <c r="A50" s="16" t="s">
        <v>388</v>
      </c>
      <c r="B50" s="4" t="s">
        <v>370</v>
      </c>
      <c r="C50" s="4">
        <v>6</v>
      </c>
      <c r="D50" s="4">
        <v>15</v>
      </c>
      <c r="E50" s="4">
        <v>375</v>
      </c>
      <c r="F50" s="4">
        <v>1</v>
      </c>
      <c r="G50" s="4" t="s">
        <v>372</v>
      </c>
      <c r="H50" s="4">
        <v>2</v>
      </c>
      <c r="I50" s="4">
        <v>30</v>
      </c>
      <c r="J50" s="4">
        <v>150</v>
      </c>
      <c r="K50" s="4">
        <v>2</v>
      </c>
      <c r="L50" s="4"/>
      <c r="M50" s="1"/>
      <c r="N50" s="15"/>
    </row>
    <row r="51" spans="1:14" ht="15.5" x14ac:dyDescent="0.35">
      <c r="A51" s="16" t="s">
        <v>389</v>
      </c>
      <c r="B51" s="4" t="s">
        <v>370</v>
      </c>
      <c r="C51" s="4">
        <v>6</v>
      </c>
      <c r="D51" s="4">
        <v>15</v>
      </c>
      <c r="E51" s="4">
        <v>375</v>
      </c>
      <c r="F51" s="4">
        <v>1</v>
      </c>
      <c r="G51" s="4" t="s">
        <v>372</v>
      </c>
      <c r="H51" s="4">
        <v>2</v>
      </c>
      <c r="I51" s="4">
        <v>30</v>
      </c>
      <c r="J51" s="4">
        <v>150</v>
      </c>
      <c r="K51" s="4">
        <v>2</v>
      </c>
      <c r="L51" s="4"/>
      <c r="M51" s="1"/>
      <c r="N51" s="15"/>
    </row>
    <row r="52" spans="1:14" ht="15.5" x14ac:dyDescent="0.35">
      <c r="A52" s="16" t="s">
        <v>390</v>
      </c>
      <c r="B52" s="4" t="s">
        <v>370</v>
      </c>
      <c r="C52" s="4">
        <v>6</v>
      </c>
      <c r="D52" s="4">
        <v>15</v>
      </c>
      <c r="E52" s="4">
        <v>375</v>
      </c>
      <c r="F52" s="4">
        <v>1</v>
      </c>
      <c r="G52" s="4" t="s">
        <v>372</v>
      </c>
      <c r="H52" s="4">
        <v>2</v>
      </c>
      <c r="I52" s="4">
        <v>30</v>
      </c>
      <c r="J52" s="4">
        <v>150</v>
      </c>
      <c r="K52" s="4">
        <v>2</v>
      </c>
      <c r="L52" s="4"/>
      <c r="M52" s="1"/>
      <c r="N52" s="15"/>
    </row>
    <row r="53" spans="1:14" ht="15.5" x14ac:dyDescent="0.35">
      <c r="A53" s="16" t="s">
        <v>391</v>
      </c>
      <c r="B53" s="4" t="s">
        <v>370</v>
      </c>
      <c r="C53" s="4">
        <v>6</v>
      </c>
      <c r="D53" s="4">
        <v>15</v>
      </c>
      <c r="E53" s="4">
        <v>375</v>
      </c>
      <c r="F53" s="4">
        <v>1</v>
      </c>
      <c r="G53" s="4" t="s">
        <v>372</v>
      </c>
      <c r="H53" s="4">
        <v>2</v>
      </c>
      <c r="I53" s="4">
        <v>30</v>
      </c>
      <c r="J53" s="4">
        <v>150</v>
      </c>
      <c r="K53" s="4">
        <v>2</v>
      </c>
      <c r="L53" s="4"/>
      <c r="M53" s="1"/>
      <c r="N53" s="15"/>
    </row>
    <row r="54" spans="1:14" ht="15.5" x14ac:dyDescent="0.35">
      <c r="A54" s="16" t="s">
        <v>392</v>
      </c>
      <c r="B54" s="4" t="s">
        <v>370</v>
      </c>
      <c r="C54" s="4">
        <v>6</v>
      </c>
      <c r="D54" s="4">
        <v>15</v>
      </c>
      <c r="E54" s="4">
        <v>375</v>
      </c>
      <c r="F54" s="4">
        <v>1</v>
      </c>
      <c r="G54" s="4" t="s">
        <v>372</v>
      </c>
      <c r="H54" s="4">
        <v>2</v>
      </c>
      <c r="I54" s="4">
        <v>30</v>
      </c>
      <c r="J54" s="4">
        <v>150</v>
      </c>
      <c r="K54" s="4">
        <v>2</v>
      </c>
      <c r="L54" s="4"/>
      <c r="M54" s="1"/>
      <c r="N54" s="15"/>
    </row>
    <row r="55" spans="1:14" ht="15.5" x14ac:dyDescent="0.35">
      <c r="A55" s="16" t="s">
        <v>393</v>
      </c>
      <c r="B55" s="4" t="s">
        <v>370</v>
      </c>
      <c r="C55" s="4">
        <v>6</v>
      </c>
      <c r="D55" s="4">
        <v>15</v>
      </c>
      <c r="E55" s="4">
        <v>375</v>
      </c>
      <c r="F55" s="4">
        <v>1</v>
      </c>
      <c r="G55" s="4" t="s">
        <v>372</v>
      </c>
      <c r="H55" s="4">
        <v>2</v>
      </c>
      <c r="I55" s="4">
        <v>30</v>
      </c>
      <c r="J55" s="4">
        <v>150</v>
      </c>
      <c r="K55" s="4">
        <v>2</v>
      </c>
      <c r="L55" s="4"/>
      <c r="M55" s="1"/>
      <c r="N55" s="15"/>
    </row>
    <row r="56" spans="1:14" ht="15.5" x14ac:dyDescent="0.35">
      <c r="A56" s="16" t="s">
        <v>394</v>
      </c>
      <c r="B56" s="4" t="s">
        <v>362</v>
      </c>
      <c r="C56" s="4">
        <v>3</v>
      </c>
      <c r="D56" s="4">
        <v>20</v>
      </c>
      <c r="E56" s="4">
        <v>200</v>
      </c>
      <c r="F56" s="4">
        <v>3</v>
      </c>
      <c r="G56" s="4" t="s">
        <v>363</v>
      </c>
      <c r="H56" s="4">
        <v>0</v>
      </c>
      <c r="I56" s="4">
        <v>40</v>
      </c>
      <c r="J56" s="4">
        <v>40</v>
      </c>
      <c r="K56" s="4">
        <v>6</v>
      </c>
      <c r="L56" s="4"/>
      <c r="M56" s="1"/>
      <c r="N56" s="15"/>
    </row>
    <row r="57" spans="1:14" ht="15.5" x14ac:dyDescent="0.35">
      <c r="A57" s="16" t="s">
        <v>395</v>
      </c>
      <c r="B57" s="4" t="s">
        <v>370</v>
      </c>
      <c r="C57" s="4">
        <v>7</v>
      </c>
      <c r="D57" s="4">
        <v>0</v>
      </c>
      <c r="E57" s="4">
        <v>420</v>
      </c>
      <c r="F57" s="4">
        <v>1</v>
      </c>
      <c r="G57" s="4" t="s">
        <v>368</v>
      </c>
      <c r="H57" s="4">
        <v>1</v>
      </c>
      <c r="I57" s="4">
        <v>30</v>
      </c>
      <c r="J57" s="4">
        <v>90</v>
      </c>
      <c r="K57" s="4">
        <v>4</v>
      </c>
      <c r="L57" s="4"/>
      <c r="M57" s="1"/>
      <c r="N57" s="15"/>
    </row>
    <row r="58" spans="1:14" ht="15.5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1"/>
      <c r="N58" s="15"/>
    </row>
    <row r="59" spans="1:14" ht="15.5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1"/>
      <c r="N59" s="15"/>
    </row>
    <row r="60" spans="1:14" ht="15.5" x14ac:dyDescent="0.35">
      <c r="A60" s="14" t="s">
        <v>396</v>
      </c>
      <c r="B60" s="14" t="s">
        <v>397</v>
      </c>
      <c r="C60" s="14" t="s">
        <v>398</v>
      </c>
      <c r="D60" s="4"/>
      <c r="E60" s="15" t="s">
        <v>399</v>
      </c>
      <c r="F60" s="4"/>
      <c r="G60" s="4"/>
      <c r="H60" s="4"/>
      <c r="I60" s="4"/>
      <c r="J60" s="4"/>
      <c r="K60" s="4"/>
      <c r="L60" s="4"/>
      <c r="M60" s="1"/>
      <c r="N60" s="15"/>
    </row>
    <row r="61" spans="1:14" ht="15.5" x14ac:dyDescent="0.35">
      <c r="A61" s="4">
        <v>30</v>
      </c>
      <c r="B61" s="4">
        <v>-129</v>
      </c>
      <c r="C61" s="4">
        <v>-153</v>
      </c>
      <c r="D61" s="4"/>
      <c r="E61" s="4"/>
      <c r="F61" s="4"/>
      <c r="G61" s="4"/>
      <c r="H61" s="4"/>
      <c r="I61" s="4"/>
      <c r="J61" s="4"/>
      <c r="K61" s="4"/>
      <c r="L61" s="4"/>
      <c r="M61" s="1"/>
      <c r="N61" s="15"/>
    </row>
    <row r="62" spans="1:14" ht="15.5" x14ac:dyDescent="0.35">
      <c r="A62" s="4">
        <v>31</v>
      </c>
      <c r="B62" s="4">
        <v>-116</v>
      </c>
      <c r="C62" s="4">
        <v>-138</v>
      </c>
      <c r="D62" s="4"/>
      <c r="E62" s="4"/>
      <c r="F62" s="4"/>
      <c r="G62" s="4"/>
      <c r="H62" s="4"/>
      <c r="I62" s="4"/>
      <c r="J62" s="4"/>
      <c r="K62" s="4"/>
      <c r="L62" s="4"/>
      <c r="M62" s="1"/>
      <c r="N62" s="15"/>
    </row>
    <row r="63" spans="1:14" ht="15.5" x14ac:dyDescent="0.35">
      <c r="A63" s="4">
        <v>32</v>
      </c>
      <c r="B63" s="4">
        <v>-103</v>
      </c>
      <c r="C63" s="4">
        <v>-123</v>
      </c>
      <c r="D63" s="4"/>
      <c r="E63" s="4"/>
      <c r="F63" s="4"/>
      <c r="G63" s="4"/>
      <c r="H63" s="4"/>
      <c r="I63" s="4"/>
      <c r="J63" s="4"/>
      <c r="K63" s="4"/>
      <c r="L63" s="4"/>
      <c r="M63" s="1"/>
      <c r="N63" s="15"/>
    </row>
    <row r="64" spans="1:14" ht="15.5" x14ac:dyDescent="0.35">
      <c r="A64" s="4">
        <v>33</v>
      </c>
      <c r="B64" s="4">
        <v>-90</v>
      </c>
      <c r="C64" s="4">
        <v>-108</v>
      </c>
      <c r="D64" s="4"/>
      <c r="E64" s="4"/>
      <c r="F64" s="4"/>
      <c r="G64" s="4"/>
      <c r="H64" s="4"/>
      <c r="I64" s="4"/>
      <c r="J64" s="4"/>
      <c r="K64" s="4"/>
      <c r="L64" s="4"/>
      <c r="M64" s="1"/>
      <c r="N64" s="15"/>
    </row>
    <row r="65" spans="1:14" ht="15.5" x14ac:dyDescent="0.35">
      <c r="A65" s="4">
        <v>34</v>
      </c>
      <c r="B65" s="4">
        <v>-80</v>
      </c>
      <c r="C65" s="4">
        <v>-93</v>
      </c>
      <c r="D65" s="4"/>
      <c r="E65" s="4"/>
      <c r="F65" s="4"/>
      <c r="G65" s="4"/>
      <c r="H65" s="4"/>
      <c r="I65" s="4"/>
      <c r="J65" s="4"/>
      <c r="K65" s="4"/>
      <c r="L65" s="4"/>
      <c r="M65" s="1"/>
      <c r="N65" s="15"/>
    </row>
    <row r="66" spans="1:14" ht="15.5" x14ac:dyDescent="0.35">
      <c r="A66" s="4">
        <v>35</v>
      </c>
      <c r="B66" s="4">
        <v>-67</v>
      </c>
      <c r="C66" s="4">
        <v>-78</v>
      </c>
      <c r="D66" s="4"/>
      <c r="E66" s="4"/>
      <c r="F66" s="4"/>
      <c r="G66" s="4"/>
      <c r="H66" s="4"/>
      <c r="I66" s="4"/>
      <c r="J66" s="4"/>
      <c r="K66" s="4"/>
      <c r="L66" s="4"/>
      <c r="M66" s="1"/>
      <c r="N66" s="15"/>
    </row>
    <row r="67" spans="1:14" ht="15.5" x14ac:dyDescent="0.35">
      <c r="A67" s="4">
        <v>36</v>
      </c>
      <c r="B67" s="4">
        <v>-54</v>
      </c>
      <c r="C67" s="4">
        <v>-62</v>
      </c>
      <c r="D67" s="4"/>
      <c r="E67" s="4"/>
      <c r="F67" s="4"/>
      <c r="G67" s="4"/>
      <c r="H67" s="4"/>
      <c r="I67" s="4"/>
      <c r="J67" s="4"/>
      <c r="K67" s="4"/>
      <c r="L67" s="4"/>
      <c r="M67" s="1"/>
      <c r="N67" s="15"/>
    </row>
    <row r="68" spans="1:14" ht="15.5" x14ac:dyDescent="0.35">
      <c r="A68" s="4">
        <v>37</v>
      </c>
      <c r="B68" s="4">
        <v>-41</v>
      </c>
      <c r="C68" s="4">
        <v>-47</v>
      </c>
      <c r="D68" s="4"/>
      <c r="E68" s="4"/>
      <c r="F68" s="4"/>
      <c r="G68" s="4"/>
      <c r="H68" s="4"/>
      <c r="I68" s="4"/>
      <c r="J68" s="4"/>
      <c r="K68" s="4"/>
      <c r="L68" s="4"/>
      <c r="M68" s="1"/>
      <c r="N68" s="15"/>
    </row>
    <row r="69" spans="1:14" ht="15.5" x14ac:dyDescent="0.35">
      <c r="A69" s="4">
        <v>38</v>
      </c>
      <c r="B69" s="4">
        <v>-27</v>
      </c>
      <c r="C69" s="4">
        <v>-32</v>
      </c>
      <c r="D69" s="4"/>
      <c r="E69" s="4"/>
      <c r="F69" s="4"/>
      <c r="G69" s="4"/>
      <c r="H69" s="4"/>
      <c r="I69" s="4"/>
      <c r="J69" s="4"/>
      <c r="K69" s="4"/>
      <c r="L69" s="4"/>
      <c r="M69" s="1"/>
      <c r="N69" s="15"/>
    </row>
    <row r="70" spans="1:14" ht="15.5" x14ac:dyDescent="0.35">
      <c r="A70" s="4">
        <v>39</v>
      </c>
      <c r="B70" s="4">
        <v>-14</v>
      </c>
      <c r="C70" s="4">
        <v>-16</v>
      </c>
      <c r="D70" s="4"/>
      <c r="E70" s="4"/>
      <c r="F70" s="4"/>
      <c r="G70" s="4"/>
      <c r="H70" s="4"/>
      <c r="I70" s="4"/>
      <c r="J70" s="4"/>
      <c r="K70" s="4"/>
      <c r="L70" s="4"/>
      <c r="M70" s="1"/>
      <c r="N70" s="15"/>
    </row>
    <row r="71" spans="1:14" ht="15.5" x14ac:dyDescent="0.35">
      <c r="A71" s="4">
        <v>40</v>
      </c>
      <c r="B71" s="4">
        <v>0</v>
      </c>
      <c r="C71" s="4">
        <v>0</v>
      </c>
      <c r="D71" s="4"/>
      <c r="E71" s="4"/>
      <c r="F71" s="4"/>
      <c r="G71" s="4"/>
      <c r="H71" s="4"/>
      <c r="I71" s="4"/>
      <c r="J71" s="4"/>
      <c r="K71" s="4"/>
      <c r="L71" s="4"/>
      <c r="M71" s="1"/>
      <c r="N71" s="15"/>
    </row>
    <row r="72" spans="1:14" ht="15.5" x14ac:dyDescent="0.35">
      <c r="A72" s="4">
        <v>41</v>
      </c>
      <c r="B72" s="4">
        <v>12</v>
      </c>
      <c r="C72" s="4">
        <v>16</v>
      </c>
      <c r="D72" s="4"/>
      <c r="E72" s="4"/>
      <c r="F72" s="4"/>
      <c r="G72" s="4"/>
      <c r="H72" s="4"/>
      <c r="I72" s="4"/>
      <c r="J72" s="4"/>
      <c r="K72" s="4"/>
      <c r="L72" s="4"/>
      <c r="M72" s="1"/>
      <c r="N72" s="15"/>
    </row>
    <row r="73" spans="1:14" ht="15.5" x14ac:dyDescent="0.35">
      <c r="A73" s="4">
        <v>42</v>
      </c>
      <c r="B73" s="4">
        <v>24</v>
      </c>
      <c r="C73" s="4">
        <v>32</v>
      </c>
      <c r="D73" s="4"/>
      <c r="E73" s="4"/>
      <c r="F73" s="4"/>
      <c r="G73" s="4"/>
      <c r="H73" s="4"/>
      <c r="I73" s="4"/>
      <c r="J73" s="4"/>
      <c r="K73" s="4"/>
      <c r="L73" s="4"/>
      <c r="M73" s="1"/>
      <c r="N73" s="15"/>
    </row>
    <row r="74" spans="1:14" ht="15.5" x14ac:dyDescent="0.35">
      <c r="A74" s="4">
        <v>43</v>
      </c>
      <c r="B74" s="4">
        <v>36</v>
      </c>
      <c r="C74" s="4">
        <v>49</v>
      </c>
      <c r="D74" s="4"/>
      <c r="E74" s="4"/>
      <c r="F74" s="4"/>
      <c r="G74" s="4"/>
      <c r="H74" s="4"/>
      <c r="I74" s="4"/>
      <c r="J74" s="4"/>
      <c r="K74" s="4"/>
      <c r="L74" s="4"/>
      <c r="M74" s="1"/>
      <c r="N74" s="15"/>
    </row>
    <row r="75" spans="1:14" ht="15.5" x14ac:dyDescent="0.35">
      <c r="A75" s="4">
        <v>44</v>
      </c>
      <c r="B75" s="4">
        <v>49</v>
      </c>
      <c r="C75" s="4">
        <v>65</v>
      </c>
      <c r="D75" s="4"/>
      <c r="E75" s="4"/>
      <c r="F75" s="4"/>
      <c r="G75" s="4"/>
      <c r="H75" s="4"/>
      <c r="I75" s="4"/>
      <c r="J75" s="4"/>
      <c r="K75" s="4"/>
      <c r="L75" s="4"/>
      <c r="M75" s="1"/>
      <c r="N75" s="15"/>
    </row>
    <row r="76" spans="1:14" ht="15.5" x14ac:dyDescent="0.35">
      <c r="A76" s="4">
        <v>45</v>
      </c>
      <c r="B76" s="4">
        <v>64</v>
      </c>
      <c r="C76" s="4">
        <v>84</v>
      </c>
      <c r="D76" s="4"/>
      <c r="E76" s="4"/>
      <c r="F76" s="4"/>
      <c r="G76" s="4"/>
      <c r="H76" s="4"/>
      <c r="I76" s="4"/>
      <c r="J76" s="4"/>
      <c r="K76" s="4"/>
      <c r="L76" s="4"/>
      <c r="M76" s="1"/>
      <c r="N76" s="15"/>
    </row>
    <row r="77" spans="1:14" ht="15.5" x14ac:dyDescent="0.35">
      <c r="A77" s="4">
        <v>46</v>
      </c>
      <c r="B77" s="4">
        <v>80</v>
      </c>
      <c r="C77" s="4">
        <v>103</v>
      </c>
      <c r="D77" s="4"/>
      <c r="E77" s="4"/>
      <c r="F77" s="4"/>
      <c r="G77" s="4"/>
      <c r="H77" s="4"/>
      <c r="I77" s="4"/>
      <c r="J77" s="4"/>
      <c r="K77" s="4"/>
      <c r="L77" s="4"/>
      <c r="M77" s="1"/>
      <c r="N77" s="15"/>
    </row>
    <row r="78" spans="1:14" ht="15.5" x14ac:dyDescent="0.35">
      <c r="A78" s="4">
        <v>47</v>
      </c>
      <c r="B78" s="4">
        <v>97</v>
      </c>
      <c r="C78" s="4">
        <v>123</v>
      </c>
      <c r="D78" s="4"/>
      <c r="E78" s="4"/>
      <c r="F78" s="4"/>
      <c r="G78" s="4"/>
      <c r="H78" s="4"/>
      <c r="I78" s="4"/>
      <c r="J78" s="4"/>
      <c r="K78" s="4"/>
      <c r="L78" s="4"/>
      <c r="M78" s="1"/>
      <c r="N78" s="15"/>
    </row>
    <row r="79" spans="1:14" ht="15.5" x14ac:dyDescent="0.35">
      <c r="A79" s="4">
        <v>48</v>
      </c>
      <c r="B79" s="4">
        <v>113</v>
      </c>
      <c r="C79" s="4">
        <v>142</v>
      </c>
      <c r="D79" s="4"/>
      <c r="E79" s="4"/>
      <c r="F79" s="4"/>
      <c r="G79" s="4"/>
      <c r="H79" s="4"/>
      <c r="I79" s="4"/>
      <c r="J79" s="4"/>
      <c r="K79" s="4"/>
      <c r="L79" s="4"/>
      <c r="M79" s="1"/>
      <c r="N79" s="15"/>
    </row>
    <row r="80" spans="1:14" ht="15.5" x14ac:dyDescent="0.35">
      <c r="A80" s="4">
        <v>49</v>
      </c>
      <c r="B80" s="4">
        <v>129</v>
      </c>
      <c r="C80" s="4">
        <v>162</v>
      </c>
      <c r="D80" s="4"/>
      <c r="E80" s="4"/>
      <c r="F80" s="4"/>
      <c r="G80" s="4"/>
      <c r="H80" s="4"/>
      <c r="I80" s="4"/>
      <c r="J80" s="4"/>
      <c r="K80" s="4"/>
      <c r="L80" s="4"/>
      <c r="M80" s="1"/>
      <c r="N80" s="15"/>
    </row>
    <row r="81" spans="1:14" ht="15.5" x14ac:dyDescent="0.35">
      <c r="A81" s="4">
        <v>50</v>
      </c>
      <c r="B81" s="4">
        <v>149</v>
      </c>
      <c r="C81" s="4">
        <v>189</v>
      </c>
      <c r="D81" s="4"/>
      <c r="E81" s="4"/>
      <c r="F81" s="4"/>
      <c r="G81" s="4"/>
      <c r="H81" s="4"/>
      <c r="I81" s="4"/>
      <c r="J81" s="4"/>
      <c r="K81" s="4"/>
      <c r="L81" s="4"/>
      <c r="M81" s="1"/>
      <c r="N81" s="15"/>
    </row>
    <row r="82" spans="1:14" ht="15.5" x14ac:dyDescent="0.35">
      <c r="A82" s="4">
        <v>51</v>
      </c>
      <c r="B82" s="4">
        <v>169</v>
      </c>
      <c r="C82" s="4">
        <v>217</v>
      </c>
      <c r="D82" s="4"/>
      <c r="E82" s="4"/>
      <c r="F82" s="4"/>
      <c r="G82" s="4"/>
      <c r="H82" s="4"/>
      <c r="I82" s="4"/>
      <c r="J82" s="4"/>
      <c r="K82" s="4"/>
      <c r="L82" s="4"/>
      <c r="M82" s="1"/>
      <c r="N82" s="15"/>
    </row>
    <row r="83" spans="1:14" ht="15.5" x14ac:dyDescent="0.35">
      <c r="A83" s="4">
        <v>52</v>
      </c>
      <c r="B83" s="4">
        <v>190</v>
      </c>
      <c r="C83" s="4">
        <v>244</v>
      </c>
      <c r="D83" s="4"/>
      <c r="E83" s="4"/>
      <c r="F83" s="4"/>
      <c r="G83" s="4"/>
      <c r="H83" s="4"/>
      <c r="I83" s="4"/>
      <c r="J83" s="4"/>
      <c r="K83" s="4"/>
      <c r="L83" s="4"/>
      <c r="M83" s="1"/>
      <c r="N83" s="15"/>
    </row>
    <row r="84" spans="1:14" ht="15.5" x14ac:dyDescent="0.35">
      <c r="A84" s="4">
        <v>53</v>
      </c>
      <c r="B84" s="4">
        <v>210</v>
      </c>
      <c r="C84" s="4">
        <v>273</v>
      </c>
      <c r="D84" s="4"/>
      <c r="E84" s="4"/>
      <c r="F84" s="4"/>
      <c r="G84" s="4"/>
      <c r="H84" s="4"/>
      <c r="I84" s="4"/>
      <c r="J84" s="4"/>
      <c r="K84" s="4"/>
      <c r="L84" s="4"/>
      <c r="M84" s="1"/>
      <c r="N84" s="15"/>
    </row>
    <row r="85" spans="1:14" ht="15.5" x14ac:dyDescent="0.35">
      <c r="A85" s="4">
        <v>54</v>
      </c>
      <c r="B85" s="4">
        <v>231</v>
      </c>
      <c r="C85" s="4">
        <v>301</v>
      </c>
      <c r="D85" s="4"/>
      <c r="E85" s="4"/>
      <c r="F85" s="4"/>
      <c r="G85" s="4"/>
      <c r="H85" s="4"/>
      <c r="I85" s="4"/>
      <c r="J85" s="4"/>
      <c r="K85" s="4"/>
      <c r="L85" s="4"/>
      <c r="M85" s="1"/>
      <c r="N85" s="15"/>
    </row>
    <row r="86" spans="1:14" ht="15.5" x14ac:dyDescent="0.35">
      <c r="A86" s="4">
        <v>55</v>
      </c>
      <c r="B86" s="4">
        <v>255</v>
      </c>
      <c r="C86" s="4">
        <v>334</v>
      </c>
      <c r="D86" s="4"/>
      <c r="E86" s="4"/>
      <c r="F86" s="4"/>
      <c r="G86" s="4"/>
      <c r="H86" s="4"/>
      <c r="I86" s="4"/>
      <c r="J86" s="4"/>
      <c r="K86" s="4"/>
      <c r="L86" s="4"/>
      <c r="M86" s="1"/>
      <c r="N86" s="15"/>
    </row>
    <row r="87" spans="1:14" ht="15.5" x14ac:dyDescent="0.35">
      <c r="A87" s="4">
        <v>56</v>
      </c>
      <c r="B87" s="4">
        <v>280</v>
      </c>
      <c r="C87" s="4">
        <v>367</v>
      </c>
      <c r="D87" s="4"/>
      <c r="E87" s="4"/>
      <c r="F87" s="4"/>
      <c r="G87" s="4"/>
      <c r="H87" s="4"/>
      <c r="I87" s="4"/>
      <c r="J87" s="4"/>
      <c r="K87" s="4"/>
      <c r="L87" s="4"/>
      <c r="M87" s="1"/>
      <c r="N87" s="15"/>
    </row>
    <row r="88" spans="1:14" ht="15.5" x14ac:dyDescent="0.35">
      <c r="A88" s="4">
        <v>57</v>
      </c>
      <c r="B88" s="4">
        <v>305</v>
      </c>
      <c r="C88" s="4">
        <v>401</v>
      </c>
      <c r="D88" s="4"/>
      <c r="E88" s="4"/>
      <c r="F88" s="4"/>
      <c r="G88" s="4"/>
      <c r="H88" s="4"/>
      <c r="I88" s="4"/>
      <c r="J88" s="4"/>
      <c r="K88" s="4"/>
      <c r="L88" s="4"/>
      <c r="M88" s="1"/>
      <c r="N88" s="15"/>
    </row>
    <row r="89" spans="1:14" ht="15.5" x14ac:dyDescent="0.35">
      <c r="A89" s="4">
        <v>58</v>
      </c>
      <c r="B89" s="4">
        <v>331</v>
      </c>
      <c r="C89" s="4">
        <v>435</v>
      </c>
      <c r="D89" s="4"/>
      <c r="E89" s="4"/>
      <c r="F89" s="4"/>
      <c r="G89" s="4"/>
      <c r="H89" s="4"/>
      <c r="I89" s="4"/>
      <c r="J89" s="4"/>
      <c r="K89" s="4"/>
      <c r="L89" s="4"/>
      <c r="M89" s="1"/>
      <c r="N89" s="15"/>
    </row>
    <row r="90" spans="1:14" ht="15.5" x14ac:dyDescent="0.35">
      <c r="A90" s="4">
        <v>59</v>
      </c>
      <c r="B90" s="4">
        <v>356</v>
      </c>
      <c r="C90" s="4">
        <v>469</v>
      </c>
      <c r="D90" s="4"/>
      <c r="E90" s="4"/>
      <c r="F90" s="4"/>
      <c r="G90" s="4"/>
      <c r="H90" s="4"/>
      <c r="I90" s="4"/>
      <c r="J90" s="4"/>
      <c r="K90" s="4"/>
      <c r="L90" s="4"/>
      <c r="M90" s="1"/>
      <c r="N90" s="15"/>
    </row>
    <row r="91" spans="1:14" ht="15.5" x14ac:dyDescent="0.35">
      <c r="A91" s="4">
        <v>60</v>
      </c>
      <c r="B91" s="4">
        <v>390</v>
      </c>
      <c r="C91" s="4">
        <v>516</v>
      </c>
      <c r="D91" s="4"/>
      <c r="E91" s="4"/>
      <c r="F91" s="4"/>
      <c r="G91" s="4"/>
      <c r="H91" s="4"/>
      <c r="I91" s="4"/>
      <c r="J91" s="4"/>
      <c r="K91" s="4"/>
      <c r="L91" s="4"/>
      <c r="M91" s="1"/>
      <c r="N91" s="15"/>
    </row>
    <row r="92" spans="1:14" ht="15.5" x14ac:dyDescent="0.35">
      <c r="A92" s="4">
        <v>61</v>
      </c>
      <c r="B92" s="4">
        <v>425</v>
      </c>
      <c r="C92" s="4">
        <v>564</v>
      </c>
      <c r="D92" s="4"/>
      <c r="E92" s="4"/>
      <c r="F92" s="4"/>
      <c r="G92" s="4"/>
      <c r="H92" s="4"/>
      <c r="I92" s="4"/>
      <c r="J92" s="4"/>
      <c r="K92" s="4"/>
      <c r="L92" s="4"/>
      <c r="M92" s="1"/>
      <c r="N92" s="15"/>
    </row>
    <row r="93" spans="1:14" ht="15.5" x14ac:dyDescent="0.35">
      <c r="A93" s="4">
        <v>62</v>
      </c>
      <c r="B93" s="4">
        <v>461</v>
      </c>
      <c r="C93" s="4">
        <v>612</v>
      </c>
      <c r="D93" s="4"/>
      <c r="E93" s="4"/>
      <c r="F93" s="4"/>
      <c r="G93" s="4"/>
      <c r="H93" s="4"/>
      <c r="I93" s="4"/>
      <c r="J93" s="4"/>
      <c r="K93" s="4"/>
      <c r="L93" s="4"/>
      <c r="M93" s="1"/>
      <c r="N93" s="15"/>
    </row>
    <row r="94" spans="1:14" ht="15.5" x14ac:dyDescent="0.35">
      <c r="A94" s="4">
        <v>63</v>
      </c>
      <c r="B94" s="4">
        <v>497</v>
      </c>
      <c r="C94" s="4">
        <v>661</v>
      </c>
      <c r="D94" s="4"/>
      <c r="E94" s="4"/>
      <c r="F94" s="4"/>
      <c r="G94" s="4"/>
      <c r="H94" s="4"/>
      <c r="I94" s="4"/>
      <c r="J94" s="4"/>
      <c r="K94" s="4"/>
      <c r="L94" s="4"/>
      <c r="M94" s="1"/>
      <c r="N94" s="15"/>
    </row>
    <row r="95" spans="1:14" ht="15.5" x14ac:dyDescent="0.35">
      <c r="A95" s="4">
        <v>64</v>
      </c>
      <c r="B95" s="4">
        <v>533</v>
      </c>
      <c r="C95" s="4">
        <v>710</v>
      </c>
      <c r="D95" s="4"/>
      <c r="E95" s="4"/>
      <c r="F95" s="4"/>
      <c r="G95" s="4"/>
      <c r="H95" s="4"/>
      <c r="I95" s="4"/>
      <c r="J95" s="4"/>
      <c r="K95" s="4"/>
      <c r="L95" s="4"/>
      <c r="M95" s="1"/>
      <c r="N95" s="15"/>
    </row>
    <row r="96" spans="1:14" ht="15.5" x14ac:dyDescent="0.35">
      <c r="A96" s="4">
        <v>65</v>
      </c>
      <c r="B96" s="4">
        <v>578</v>
      </c>
      <c r="C96" s="4">
        <v>773</v>
      </c>
      <c r="D96" s="4"/>
      <c r="E96" s="4"/>
      <c r="F96" s="4"/>
      <c r="G96" s="4"/>
      <c r="H96" s="4"/>
      <c r="I96" s="4"/>
      <c r="J96" s="4"/>
      <c r="K96" s="4"/>
      <c r="L96" s="4"/>
      <c r="M96" s="1"/>
      <c r="N96" s="15"/>
    </row>
    <row r="97" spans="1:14" ht="15.5" x14ac:dyDescent="0.35">
      <c r="A97" s="4">
        <v>66</v>
      </c>
      <c r="B97" s="4">
        <v>625</v>
      </c>
      <c r="C97" s="4">
        <v>837</v>
      </c>
      <c r="D97" s="4"/>
      <c r="E97" s="4"/>
      <c r="F97" s="4"/>
      <c r="G97" s="4"/>
      <c r="H97" s="4"/>
      <c r="I97" s="4"/>
      <c r="J97" s="4"/>
      <c r="K97" s="4"/>
      <c r="L97" s="4"/>
      <c r="M97" s="1"/>
      <c r="N97" s="15"/>
    </row>
    <row r="98" spans="1:14" ht="15.5" x14ac:dyDescent="0.35">
      <c r="A98" s="4">
        <v>67</v>
      </c>
      <c r="B98" s="4">
        <v>673</v>
      </c>
      <c r="C98" s="4">
        <v>902</v>
      </c>
      <c r="D98" s="4"/>
      <c r="E98" s="4"/>
      <c r="F98" s="4"/>
      <c r="G98" s="4"/>
      <c r="H98" s="4"/>
      <c r="I98" s="4"/>
      <c r="J98" s="4"/>
      <c r="K98" s="4"/>
      <c r="L98" s="4"/>
      <c r="M98" s="1"/>
      <c r="N98" s="15"/>
    </row>
    <row r="99" spans="1:14" ht="15.5" x14ac:dyDescent="0.35">
      <c r="A99" s="4">
        <v>68</v>
      </c>
      <c r="B99" s="4">
        <v>721</v>
      </c>
      <c r="C99" s="4">
        <v>967</v>
      </c>
      <c r="D99" s="4"/>
      <c r="E99" s="4"/>
      <c r="F99" s="4"/>
      <c r="G99" s="4"/>
      <c r="H99" s="4"/>
      <c r="I99" s="4"/>
      <c r="J99" s="4"/>
      <c r="K99" s="4"/>
      <c r="L99" s="4"/>
      <c r="M99" s="1"/>
      <c r="N99" s="15"/>
    </row>
    <row r="100" spans="1:14" ht="15.5" x14ac:dyDescent="0.35">
      <c r="A100" s="4">
        <v>69</v>
      </c>
      <c r="B100" s="4">
        <v>769</v>
      </c>
      <c r="C100" s="4">
        <v>1033</v>
      </c>
      <c r="D100" s="4"/>
      <c r="E100" s="4"/>
      <c r="F100" s="4"/>
      <c r="G100" s="4"/>
      <c r="H100" s="4"/>
      <c r="I100" s="4"/>
      <c r="J100" s="4"/>
      <c r="K100" s="4"/>
      <c r="L100" s="4"/>
      <c r="M100" s="1"/>
      <c r="N100" s="15"/>
    </row>
    <row r="101" spans="1:14" ht="15.5" x14ac:dyDescent="0.35">
      <c r="A101" s="4">
        <v>70</v>
      </c>
      <c r="B101" s="4">
        <v>818</v>
      </c>
      <c r="C101" s="4">
        <v>1100</v>
      </c>
      <c r="D101" s="4"/>
      <c r="E101" s="4"/>
      <c r="F101" s="4"/>
      <c r="G101" s="4"/>
      <c r="H101" s="4"/>
      <c r="I101" s="4"/>
      <c r="J101" s="4"/>
      <c r="K101" s="4"/>
      <c r="L101" s="4"/>
      <c r="M101" s="1"/>
      <c r="N101" s="15"/>
    </row>
  </sheetData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.75" customHeight="1" x14ac:dyDescent="0.3"/>
  <cols>
    <col min="1" max="1" width="12.58203125" customWidth="1"/>
    <col min="2" max="2" width="14.83203125" customWidth="1"/>
    <col min="3" max="1024" width="11.6640625" customWidth="1"/>
  </cols>
  <sheetData>
    <row r="1" spans="1:6" ht="14" x14ac:dyDescent="0.3">
      <c r="A1" s="6" t="e">
        <f ca="1">getallsheetnames(F1)</f>
        <v>#NAME?</v>
      </c>
      <c r="B1" s="6" t="s">
        <v>400</v>
      </c>
      <c r="E1" s="6" t="s">
        <v>401</v>
      </c>
      <c r="F1" s="17">
        <v>0.62083333333333335</v>
      </c>
    </row>
    <row r="2" spans="1:6" ht="14" x14ac:dyDescent="0.3">
      <c r="A2" s="18" t="s">
        <v>402</v>
      </c>
      <c r="B2" s="6" t="s">
        <v>403</v>
      </c>
    </row>
    <row r="3" spans="1:6" ht="14.5" x14ac:dyDescent="0.35">
      <c r="A3" s="18" t="s">
        <v>404</v>
      </c>
      <c r="B3" s="6" t="s">
        <v>405</v>
      </c>
      <c r="D3" s="19"/>
    </row>
    <row r="4" spans="1:6" ht="14" x14ac:dyDescent="0.3">
      <c r="A4" s="18" t="s">
        <v>406</v>
      </c>
      <c r="B4" s="6" t="s">
        <v>407</v>
      </c>
    </row>
    <row r="5" spans="1:6" ht="14" x14ac:dyDescent="0.3">
      <c r="A5" s="18" t="s">
        <v>408</v>
      </c>
      <c r="B5" s="6" t="s">
        <v>409</v>
      </c>
    </row>
    <row r="6" spans="1:6" ht="14" x14ac:dyDescent="0.3">
      <c r="A6" s="18" t="s">
        <v>410</v>
      </c>
      <c r="B6" s="6" t="s">
        <v>411</v>
      </c>
    </row>
    <row r="7" spans="1:6" ht="14" x14ac:dyDescent="0.3">
      <c r="A7" s="18" t="s">
        <v>412</v>
      </c>
      <c r="B7" s="6" t="s">
        <v>413</v>
      </c>
    </row>
    <row r="8" spans="1:6" ht="14" x14ac:dyDescent="0.3">
      <c r="A8" s="18" t="s">
        <v>414</v>
      </c>
      <c r="B8" s="6" t="s">
        <v>415</v>
      </c>
    </row>
    <row r="9" spans="1:6" ht="14" x14ac:dyDescent="0.3">
      <c r="A9" s="18" t="s">
        <v>416</v>
      </c>
      <c r="B9" s="6" t="s">
        <v>417</v>
      </c>
    </row>
    <row r="10" spans="1:6" ht="14" x14ac:dyDescent="0.3">
      <c r="A10" s="18" t="s">
        <v>418</v>
      </c>
      <c r="B10" s="6" t="s">
        <v>419</v>
      </c>
    </row>
    <row r="11" spans="1:6" ht="14" x14ac:dyDescent="0.3">
      <c r="A11" s="18" t="s">
        <v>420</v>
      </c>
      <c r="B11" s="6" t="s">
        <v>421</v>
      </c>
    </row>
    <row r="12" spans="1:6" ht="14" x14ac:dyDescent="0.3">
      <c r="A12" s="18" t="s">
        <v>422</v>
      </c>
      <c r="B12" s="6" t="s">
        <v>423</v>
      </c>
    </row>
    <row r="13" spans="1:6" ht="14" x14ac:dyDescent="0.3">
      <c r="A13" s="18" t="s">
        <v>424</v>
      </c>
      <c r="B13" s="6" t="s">
        <v>425</v>
      </c>
    </row>
    <row r="14" spans="1:6" ht="14" x14ac:dyDescent="0.3">
      <c r="A14" s="18" t="s">
        <v>426</v>
      </c>
      <c r="B14" s="6" t="s">
        <v>427</v>
      </c>
    </row>
    <row r="15" spans="1:6" ht="14" x14ac:dyDescent="0.3">
      <c r="A15" s="18" t="s">
        <v>428</v>
      </c>
      <c r="B15" s="6" t="s">
        <v>429</v>
      </c>
    </row>
    <row r="16" spans="1:6" ht="14" x14ac:dyDescent="0.3">
      <c r="A16" s="18" t="s">
        <v>430</v>
      </c>
      <c r="B16" s="6" t="s">
        <v>431</v>
      </c>
    </row>
    <row r="17" spans="1:2" ht="14" x14ac:dyDescent="0.3">
      <c r="A17" s="18" t="s">
        <v>432</v>
      </c>
      <c r="B17" s="6" t="s">
        <v>433</v>
      </c>
    </row>
    <row r="18" spans="1:2" ht="14" x14ac:dyDescent="0.3">
      <c r="A18" s="18" t="s">
        <v>434</v>
      </c>
      <c r="B18" s="6" t="s">
        <v>435</v>
      </c>
    </row>
    <row r="19" spans="1:2" ht="14" x14ac:dyDescent="0.3">
      <c r="A19" s="18" t="s">
        <v>436</v>
      </c>
      <c r="B19" s="6" t="s">
        <v>437</v>
      </c>
    </row>
    <row r="20" spans="1:2" ht="14" x14ac:dyDescent="0.3">
      <c r="A20" s="18" t="s">
        <v>438</v>
      </c>
      <c r="B20" s="6" t="s">
        <v>439</v>
      </c>
    </row>
    <row r="21" spans="1:2" ht="14" x14ac:dyDescent="0.3">
      <c r="A21" s="18" t="s">
        <v>440</v>
      </c>
      <c r="B21" s="6" t="s">
        <v>441</v>
      </c>
    </row>
    <row r="22" spans="1:2" ht="14" x14ac:dyDescent="0.3">
      <c r="A22" s="18" t="s">
        <v>442</v>
      </c>
      <c r="B22" s="6" t="s">
        <v>443</v>
      </c>
    </row>
  </sheetData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Score 3M</vt:lpstr>
      <vt:lpstr>Score 4M</vt:lpstr>
      <vt:lpstr>Score 5M</vt:lpstr>
      <vt:lpstr>Score 6M</vt:lpstr>
      <vt:lpstr>Score 7M</vt:lpstr>
      <vt:lpstr>Score 8M</vt:lpstr>
      <vt:lpstr>Score 9M</vt:lpstr>
      <vt:lpstr>Score 10M</vt:lpstr>
      <vt:lpstr>Score 11M</vt:lpstr>
      <vt:lpstr>Score 12&amp;13M</vt:lpstr>
      <vt:lpstr>Score TeachersM</vt:lpstr>
      <vt:lpstr>Score 3F</vt:lpstr>
      <vt:lpstr>Score 4F</vt:lpstr>
      <vt:lpstr>Score 5F</vt:lpstr>
      <vt:lpstr>Score 6F</vt:lpstr>
      <vt:lpstr>Score 7F</vt:lpstr>
      <vt:lpstr>Score 8F</vt:lpstr>
      <vt:lpstr>Score 9F</vt:lpstr>
      <vt:lpstr>Score 10F</vt:lpstr>
      <vt:lpstr>Score 11F</vt:lpstr>
      <vt:lpstr>Score 12&amp;13F</vt:lpstr>
      <vt:lpstr>Score TeachersF</vt:lpstr>
      <vt:lpstr>Scoring tables</vt:lpstr>
      <vt:lpstr>sheet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Collett, Katie</cp:lastModifiedBy>
  <dcterms:created xsi:type="dcterms:W3CDTF">2024-12-30T20:15:27Z</dcterms:created>
  <dcterms:modified xsi:type="dcterms:W3CDTF">2024-12-30T20:18:25Z</dcterms:modified>
</cp:coreProperties>
</file>